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0"/>
          </rPr>
          <t>Naputak:</t>
        </r>
        <r>
          <rPr>
            <sz val="9"/>
            <rFont val="Tahoma"/>
            <family val="0"/>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0"/>
          </rPr>
          <t>Naputak:</t>
        </r>
        <r>
          <rPr>
            <sz val="9"/>
            <rFont val="Tahoma"/>
            <family val="0"/>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<sst xmlns="http://schemas.openxmlformats.org/spreadsheetml/2006/main" count="3664" uniqueCount="2967">
  <si>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</si>
  <si>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</si>
  <si>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</si>
  <si>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</si>
  <si>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</si>
  <si>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</si>
  <si>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</si>
  <si>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</si>
  <si>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</si>
  <si>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</si>
  <si>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</si>
  <si>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</si>
  <si>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</si>
  <si>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</si>
  <si>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</si>
  <si>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</si>
  <si>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</si>
  <si>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</si>
  <si>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</si>
  <si>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</si>
  <si>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</si>
  <si>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</si>
  <si>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</si>
  <si>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</si>
  <si>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</si>
  <si>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</si>
  <si>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</si>
  <si>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</si>
  <si>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</si>
  <si>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</si>
  <si>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</si>
  <si>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</si>
  <si>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</si>
  <si>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</si>
  <si>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</si>
  <si>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</si>
  <si>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</si>
  <si>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</si>
  <si>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</si>
  <si>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</si>
  <si>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</si>
  <si>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</si>
  <si>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</si>
  <si>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</si>
  <si>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</si>
  <si>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</si>
  <si>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</si>
  <si>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</si>
  <si>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</si>
  <si>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</si>
  <si>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</si>
  <si>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</si>
  <si>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</si>
  <si>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</si>
  <si>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</si>
  <si>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</si>
  <si>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</si>
  <si>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</si>
  <si>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</si>
  <si>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</si>
  <si>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</si>
  <si>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</si>
  <si>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</si>
  <si>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</si>
  <si>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</si>
  <si>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</si>
  <si>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</si>
  <si>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</si>
  <si>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</si>
  <si>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</si>
  <si>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</si>
  <si>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</si>
  <si>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</si>
  <si>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</si>
  <si>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</si>
  <si>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</si>
  <si>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</si>
  <si>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</si>
  <si>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</si>
  <si>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</si>
  <si>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</si>
  <si>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</si>
  <si>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</si>
  <si>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</si>
  <si>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</si>
  <si>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</si>
  <si>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</si>
  <si>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</si>
  <si>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</si>
  <si>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</si>
  <si>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</si>
  <si>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</si>
  <si>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</si>
  <si>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</si>
  <si>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</si>
  <si>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</si>
  <si>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</si>
  <si>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</si>
  <si>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</si>
  <si>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</si>
  <si>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</si>
  <si>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</si>
  <si>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</si>
  <si>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</si>
  <si>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</si>
  <si>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</si>
  <si>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</si>
  <si>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</si>
  <si>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</si>
  <si>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</si>
  <si>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</si>
  <si>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</si>
  <si>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</si>
  <si>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</si>
  <si>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</si>
  <si>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</si>
  <si>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</si>
  <si>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</si>
  <si>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</si>
  <si>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</si>
  <si>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</si>
  <si>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</si>
  <si>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</si>
  <si>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</si>
  <si>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</si>
  <si>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</si>
  <si>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</si>
  <si>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</si>
  <si>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</si>
  <si>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</si>
  <si>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</si>
  <si>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</si>
  <si>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</si>
  <si>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</si>
  <si>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</si>
  <si>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</si>
  <si>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</si>
  <si>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</si>
  <si>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</si>
  <si>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</si>
  <si>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</si>
  <si>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</si>
  <si>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</si>
  <si>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</si>
  <si>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</si>
  <si>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</si>
  <si>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</si>
  <si>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</si>
  <si>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</si>
  <si>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</si>
  <si>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</si>
  <si>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</si>
  <si>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</si>
  <si>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</si>
  <si>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</si>
  <si>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</si>
  <si>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</si>
  <si>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</si>
  <si>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</si>
  <si>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</si>
  <si>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</si>
  <si>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</si>
  <si>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</si>
  <si>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</si>
  <si>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</si>
  <si>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</si>
  <si>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</si>
  <si>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</si>
  <si>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</si>
  <si>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</si>
  <si>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</si>
  <si>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</si>
  <si>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</si>
  <si>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</si>
  <si>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</si>
  <si>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</si>
  <si>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</si>
  <si>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</si>
  <si>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</si>
  <si>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</si>
  <si>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</si>
  <si>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</si>
  <si>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</si>
  <si>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</si>
  <si>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</si>
  <si>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</si>
  <si>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</si>
  <si>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</si>
  <si>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</si>
  <si>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</si>
  <si>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</si>
  <si>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</si>
  <si>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</si>
  <si>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</si>
  <si>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</si>
  <si>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</si>
  <si>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</si>
  <si>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</si>
  <si>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</si>
  <si>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</si>
  <si>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</si>
  <si>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</si>
  <si>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</si>
  <si>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</si>
  <si>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</si>
  <si>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</si>
  <si>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</si>
  <si>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</si>
  <si>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</si>
  <si>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</si>
  <si>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</si>
  <si>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</si>
  <si>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</si>
  <si>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</si>
  <si>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</si>
  <si>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</si>
  <si>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</si>
  <si>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</si>
  <si>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</si>
  <si>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</si>
  <si>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</si>
  <si>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</si>
  <si>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</si>
  <si>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</si>
  <si>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</si>
  <si>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</si>
  <si>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</si>
  <si>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</si>
  <si>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</si>
  <si>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</si>
  <si>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</si>
  <si>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</si>
  <si>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</si>
  <si>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</si>
  <si>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</si>
  <si>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</si>
  <si>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</si>
  <si>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</si>
  <si>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</si>
  <si>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</si>
  <si>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</si>
  <si>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</si>
  <si>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</si>
  <si>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</si>
  <si>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</si>
  <si>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</si>
  <si>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</si>
  <si>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</si>
  <si>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</si>
  <si>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</si>
  <si>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</si>
  <si>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</si>
  <si>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</si>
  <si>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</si>
  <si>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</si>
  <si>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</si>
  <si>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</si>
  <si>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</si>
  <si>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</si>
  <si>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</si>
  <si>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</si>
  <si>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</si>
  <si>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</si>
  <si>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</si>
  <si>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</si>
  <si>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</si>
  <si>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</si>
  <si>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</si>
  <si>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</si>
  <si>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</si>
  <si>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</si>
  <si>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</si>
  <si>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</si>
  <si>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</si>
  <si>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</si>
  <si>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</si>
  <si>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</si>
  <si>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</si>
  <si>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</si>
  <si>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</si>
  <si>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</si>
  <si>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</si>
  <si>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</si>
  <si>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</si>
  <si>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</si>
  <si>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</si>
  <si>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</si>
  <si>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</si>
  <si>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</si>
  <si>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</si>
  <si>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</si>
  <si>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</si>
  <si>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</si>
  <si>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</si>
  <si>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</si>
  <si>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</si>
  <si>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</si>
  <si>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</si>
  <si>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</si>
  <si>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</si>
  <si>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</si>
  <si>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</si>
  <si>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</si>
  <si>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</si>
  <si>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</si>
  <si>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</si>
  <si>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</si>
  <si>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</si>
  <si>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</si>
  <si>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</si>
  <si>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</si>
  <si>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</si>
  <si>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</si>
  <si>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</si>
  <si>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</si>
  <si>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</si>
  <si>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</si>
  <si>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</si>
  <si>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</si>
  <si>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</si>
  <si>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</si>
  <si>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</si>
  <si>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</si>
  <si>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</si>
  <si>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</si>
  <si>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</si>
  <si>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</si>
  <si>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</si>
  <si>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</si>
  <si>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</si>
  <si>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</si>
  <si>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</si>
  <si>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</si>
  <si>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</si>
  <si>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</si>
  <si>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</si>
  <si>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</si>
  <si>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</si>
  <si>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</si>
  <si>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</si>
  <si>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</si>
  <si>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</si>
  <si>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</si>
  <si>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</si>
  <si>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</si>
  <si>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</si>
  <si>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</si>
  <si>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</si>
  <si>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</si>
  <si>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</si>
  <si>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</si>
  <si>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</si>
  <si>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</si>
  <si>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</si>
  <si>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</si>
  <si>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</si>
  <si>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</si>
  <si>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</si>
  <si>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</si>
  <si>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</si>
  <si>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</si>
  <si>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</si>
  <si>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</si>
  <si>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</si>
  <si>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</si>
  <si>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</si>
  <si>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</si>
  <si>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</si>
  <si>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</si>
  <si>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</si>
  <si>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</si>
  <si>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</si>
  <si>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</si>
  <si>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</si>
  <si>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</si>
  <si>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</si>
  <si>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</si>
  <si>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</si>
  <si>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</si>
  <si>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</si>
  <si>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</si>
  <si>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</si>
  <si>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</si>
  <si>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</si>
  <si>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</si>
  <si>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</si>
  <si>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</si>
  <si>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</si>
  <si>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</si>
  <si>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</si>
  <si>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</si>
  <si>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</si>
  <si>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</si>
  <si>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</si>
  <si>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</si>
  <si>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</si>
  <si>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</si>
  <si>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</si>
  <si>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</si>
  <si>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</si>
  <si>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</si>
  <si>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</si>
  <si>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</si>
  <si>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</si>
  <si>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</si>
  <si>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</si>
  <si>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</si>
  <si>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</si>
  <si>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</si>
  <si>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</si>
  <si>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</si>
  <si>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</si>
  <si>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</si>
  <si>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</si>
  <si>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</si>
  <si>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</si>
  <si>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</si>
  <si>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</si>
  <si>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</si>
  <si>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</si>
  <si>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</si>
  <si>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</si>
  <si>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</si>
  <si>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</si>
  <si>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</si>
  <si>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</si>
  <si>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</si>
  <si>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</si>
  <si>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</si>
  <si>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</si>
  <si>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</si>
  <si>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</si>
  <si>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</si>
  <si>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</si>
  <si>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</si>
  <si>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</si>
  <si>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</si>
  <si>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</si>
  <si>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</si>
  <si>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</si>
  <si>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</si>
  <si>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</si>
  <si>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</si>
  <si>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</si>
  <si>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</si>
  <si>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</si>
  <si>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</si>
  <si>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</si>
  <si>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</si>
  <si>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</si>
  <si>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</si>
  <si>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</si>
  <si>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</si>
  <si>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</si>
  <si>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</si>
  <si>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</si>
  <si>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</si>
  <si>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</si>
  <si>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</si>
  <si>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</si>
  <si>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</si>
  <si>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</si>
  <si>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</si>
  <si>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</si>
  <si>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</si>
  <si>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</si>
  <si>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</si>
  <si>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</si>
  <si>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</si>
  <si>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</si>
  <si>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</si>
  <si>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</si>
  <si>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</si>
  <si>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</si>
  <si>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</si>
  <si>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</si>
  <si>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</si>
  <si>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</si>
  <si>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</si>
  <si>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</si>
  <si>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</si>
  <si>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</si>
  <si>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</si>
  <si>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</si>
  <si>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</si>
  <si>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</si>
  <si>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</si>
  <si>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</si>
  <si>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</si>
  <si>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</si>
  <si>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</si>
  <si>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</si>
  <si>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</si>
  <si>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</si>
  <si>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</si>
  <si>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</si>
  <si>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</si>
  <si>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</si>
  <si>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</si>
  <si>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</si>
  <si>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</si>
  <si>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</si>
  <si>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</si>
  <si>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</si>
  <si>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</si>
  <si>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</si>
  <si>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</si>
  <si>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</si>
  <si>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</si>
  <si>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</si>
  <si>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</si>
  <si>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</si>
  <si>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</si>
  <si>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</si>
  <si>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</si>
  <si>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</si>
  <si>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</si>
  <si>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</si>
  <si>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</si>
  <si>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</si>
  <si>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</si>
  <si>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</si>
  <si>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</si>
  <si>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</si>
  <si>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</si>
  <si>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</si>
  <si>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</si>
  <si>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</si>
  <si>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</si>
  <si>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</si>
  <si>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</si>
  <si>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</si>
  <si>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</si>
  <si>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</si>
  <si>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</si>
  <si>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</si>
  <si>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</si>
  <si>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</si>
  <si>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</si>
  <si>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</si>
  <si>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</si>
  <si>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</si>
  <si>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</si>
  <si>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</si>
  <si>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</si>
  <si>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</si>
  <si>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</si>
  <si>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</si>
  <si>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</si>
  <si>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</si>
  <si>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</si>
  <si>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</si>
  <si>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</si>
  <si>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</si>
  <si>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</si>
  <si>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</si>
  <si>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</si>
  <si>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</si>
  <si>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</si>
  <si>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</si>
  <si>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</si>
  <si>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</si>
  <si>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</si>
  <si>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</si>
  <si>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</si>
  <si>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</si>
  <si>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</si>
  <si>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</si>
  <si>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</si>
  <si>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</si>
  <si>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</si>
  <si>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</si>
  <si>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</si>
  <si>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</si>
  <si>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</si>
  <si>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</si>
  <si>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</si>
  <si>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</si>
  <si>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</si>
  <si>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</si>
  <si>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</si>
  <si>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</si>
  <si>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</si>
  <si>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</si>
  <si>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</si>
  <si>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</si>
  <si>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</si>
  <si>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</si>
  <si>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</si>
  <si>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</si>
  <si>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</si>
  <si>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</si>
  <si>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</si>
  <si>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</si>
  <si>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</si>
  <si>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</si>
  <si>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</si>
  <si>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</si>
  <si>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</si>
  <si>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</si>
  <si>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</si>
  <si>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</si>
  <si>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</si>
  <si>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</si>
  <si>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</si>
  <si>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</si>
  <si>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</si>
  <si>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</si>
  <si>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</si>
  <si>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</si>
  <si>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</si>
  <si>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</si>
  <si>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</si>
  <si>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</si>
  <si>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</si>
  <si>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</si>
  <si>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</si>
  <si>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</si>
  <si>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</si>
  <si>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</si>
  <si>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</si>
  <si>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</si>
  <si>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</si>
  <si>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</si>
  <si>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</si>
  <si>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</si>
  <si>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</si>
  <si>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</si>
  <si>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</si>
  <si>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</si>
  <si>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</si>
  <si>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</si>
  <si>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</si>
  <si>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</si>
  <si>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</si>
  <si>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</si>
  <si>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</si>
  <si>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</si>
  <si>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</si>
  <si>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</si>
  <si>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</si>
  <si>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</si>
  <si>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</si>
  <si>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</si>
  <si>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</si>
  <si>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</si>
  <si>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</si>
  <si>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</si>
  <si>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</si>
  <si>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</si>
  <si>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</si>
  <si>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</si>
  <si>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</si>
  <si>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</si>
  <si>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</si>
  <si>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</si>
  <si>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</si>
  <si>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</si>
  <si>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</si>
  <si>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</si>
  <si>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</si>
  <si>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</si>
  <si>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</si>
  <si>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</si>
  <si>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</si>
  <si>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</si>
  <si>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</si>
  <si>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</si>
  <si>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</si>
  <si>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</si>
  <si>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</si>
  <si>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</si>
  <si>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</si>
  <si>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</si>
  <si>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</si>
  <si>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</si>
  <si>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</si>
  <si>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</si>
  <si>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</si>
  <si>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</si>
  <si>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</si>
  <si>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</si>
  <si>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</si>
  <si>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</si>
  <si>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</si>
  <si>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</si>
  <si>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</si>
  <si>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</si>
  <si>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</si>
  <si>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</si>
  <si>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</si>
  <si>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</si>
  <si>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</si>
  <si>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</si>
  <si>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</si>
  <si>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</si>
  <si>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</si>
  <si>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</si>
  <si>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</si>
  <si>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</si>
  <si>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</si>
  <si>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</si>
  <si>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</si>
  <si>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</si>
  <si>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</si>
  <si>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</si>
  <si>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</si>
  <si>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</si>
  <si>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</si>
  <si>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</si>
  <si>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</si>
  <si>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</si>
  <si>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</si>
  <si>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</si>
  <si>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</si>
  <si>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</si>
  <si>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</si>
  <si>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</si>
  <si>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</si>
  <si>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</si>
  <si>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</si>
  <si>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</si>
  <si>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</si>
  <si>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</si>
  <si>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</si>
  <si>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</si>
  <si>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</si>
  <si>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</si>
  <si>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</si>
  <si>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</si>
  <si>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</si>
  <si>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</si>
  <si>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</si>
  <si>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</si>
  <si>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</si>
  <si>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</si>
  <si>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</si>
  <si>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</si>
  <si>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</si>
  <si>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</si>
  <si>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</si>
  <si>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</si>
  <si>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</si>
  <si>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</si>
  <si>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</si>
  <si>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</si>
  <si>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</si>
  <si>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</si>
  <si>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</si>
  <si>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</si>
  <si>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</si>
  <si>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</si>
  <si>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</si>
  <si>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</si>
  <si>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</si>
  <si>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</si>
  <si>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</si>
  <si>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</si>
  <si>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</si>
  <si>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</si>
  <si>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</si>
  <si>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</si>
  <si>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</si>
  <si>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</si>
  <si>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</si>
  <si>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</si>
  <si>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</si>
  <si>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</si>
  <si>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</si>
  <si>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</si>
  <si>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</si>
  <si>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</si>
  <si>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</si>
  <si>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</si>
  <si>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</si>
  <si>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</si>
  <si>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</si>
  <si>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</si>
  <si>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</si>
  <si>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</si>
  <si>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</si>
  <si>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</si>
  <si>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</si>
  <si>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</si>
  <si>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</si>
  <si>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</si>
  <si>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</si>
  <si>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</si>
  <si>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</si>
  <si>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</si>
  <si>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</si>
  <si>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</si>
  <si>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</si>
  <si>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</si>
  <si>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</si>
  <si>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</si>
  <si>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</si>
  <si>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</si>
  <si>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</si>
  <si>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</si>
  <si>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</si>
  <si>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</si>
  <si>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</si>
  <si>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</si>
  <si>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</si>
  <si>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</si>
  <si>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</si>
  <si>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</si>
  <si>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</si>
  <si>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</si>
  <si>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</si>
  <si>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</si>
  <si>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</si>
  <si>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</si>
  <si>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</si>
  <si>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</si>
  <si>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</si>
  <si>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</si>
  <si>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</si>
  <si>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</si>
  <si>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</si>
  <si>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</si>
  <si>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</si>
  <si>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</si>
  <si>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</si>
  <si>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</si>
  <si>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</si>
  <si>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</si>
  <si>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</si>
  <si>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</si>
  <si>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</si>
  <si>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</si>
  <si>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</si>
  <si>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</si>
  <si>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</si>
  <si>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</si>
  <si>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</si>
  <si>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</si>
  <si>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</si>
  <si>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</si>
  <si>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</si>
  <si>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</si>
  <si>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</si>
  <si>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</si>
  <si>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</si>
  <si>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</si>
  <si>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</si>
  <si>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</si>
  <si>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</si>
  <si>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</si>
  <si>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</si>
  <si>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</si>
  <si>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</si>
  <si>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</si>
  <si>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</si>
  <si>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</si>
  <si>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</si>
  <si>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</si>
  <si>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</si>
  <si>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</si>
  <si>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</si>
  <si>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</si>
  <si>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</si>
  <si>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</si>
  <si>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</si>
  <si>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</si>
  <si>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</si>
  <si>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</si>
  <si>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</si>
  <si>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</si>
  <si>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</si>
  <si>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</si>
  <si>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</si>
  <si>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</si>
  <si>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</si>
  <si>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</si>
  <si>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</si>
  <si>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</si>
  <si>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</si>
  <si>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</si>
  <si>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</si>
  <si>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</si>
  <si>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</si>
  <si>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</si>
  <si>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</si>
  <si>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</si>
  <si>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</si>
  <si>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</si>
  <si>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</si>
  <si>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</si>
  <si>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</si>
  <si>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</si>
  <si>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</si>
  <si>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</si>
  <si>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</si>
  <si>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</si>
  <si>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</si>
  <si>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</si>
  <si>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</si>
  <si>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</si>
  <si>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</si>
  <si>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</si>
  <si>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</si>
  <si>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</si>
  <si>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</si>
  <si>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</si>
  <si>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</si>
  <si>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</si>
  <si>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</si>
  <si>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</si>
  <si>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</si>
  <si>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</si>
  <si>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</si>
  <si>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</si>
  <si>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</si>
  <si>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</si>
  <si>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</si>
  <si>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</si>
  <si>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</si>
  <si>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</si>
  <si>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</si>
  <si>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</si>
  <si>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</si>
  <si>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</si>
  <si>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</si>
  <si>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</si>
  <si>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</si>
  <si>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</si>
  <si>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</si>
  <si>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</si>
  <si>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</si>
  <si>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</si>
  <si>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</si>
  <si>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</si>
  <si>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</si>
  <si>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</si>
  <si>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</si>
  <si>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</si>
  <si>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</si>
  <si>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</si>
  <si>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</si>
  <si>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</si>
  <si>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</si>
  <si>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</si>
  <si>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</si>
  <si>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</si>
  <si>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</si>
  <si>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</si>
  <si>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</si>
  <si>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</si>
  <si>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</si>
  <si>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</si>
  <si>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</si>
  <si>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</si>
  <si>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</si>
  <si>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</si>
  <si>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</si>
  <si>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</si>
  <si>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</si>
  <si>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</si>
  <si>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</si>
  <si>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</si>
  <si>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</si>
  <si>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</si>
  <si>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</si>
  <si>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</si>
  <si>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</si>
  <si>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</si>
  <si>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</si>
  <si>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</si>
  <si>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</si>
  <si>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</si>
  <si>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</si>
  <si>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</si>
  <si>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</si>
  <si>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</si>
  <si>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</si>
  <si>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</si>
  <si>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</si>
  <si>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</si>
  <si>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</si>
  <si>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</si>
  <si>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</si>
  <si>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</si>
  <si>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</si>
  <si>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</si>
  <si>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</si>
  <si>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</si>
  <si>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</si>
  <si>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</si>
  <si>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</si>
  <si>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</si>
  <si>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</si>
  <si>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</si>
  <si>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</si>
  <si>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</si>
  <si>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</si>
  <si>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</si>
  <si>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</si>
  <si>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</si>
  <si>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</si>
  <si>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</si>
  <si>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</si>
  <si>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</si>
  <si>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</si>
  <si>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</si>
  <si>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</si>
  <si>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</si>
  <si>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</si>
  <si>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</si>
  <si>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</si>
  <si>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</si>
  <si>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</si>
  <si>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</si>
  <si>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</si>
  <si>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</si>
  <si>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</si>
  <si>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</si>
  <si>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</si>
  <si>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</si>
  <si>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</si>
  <si>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</si>
  <si>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</si>
  <si>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</si>
  <si>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</si>
  <si>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</si>
  <si>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</si>
  <si>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</si>
  <si>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</si>
  <si>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</si>
  <si>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</si>
  <si>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</si>
  <si>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</si>
  <si>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</si>
  <si>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</si>
  <si>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</si>
  <si>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</si>
  <si>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</si>
  <si>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</si>
  <si>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</si>
  <si>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</si>
  <si>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</si>
  <si>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</si>
  <si>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</si>
  <si>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</si>
  <si>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</si>
  <si>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</si>
  <si>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</si>
  <si>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</si>
  <si>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</si>
  <si>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</si>
  <si>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</si>
  <si>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</si>
  <si>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</si>
  <si>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</si>
  <si>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</si>
  <si>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</si>
  <si>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</si>
  <si>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</si>
  <si>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</si>
  <si>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</si>
  <si>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</si>
  <si>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</si>
  <si>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</si>
  <si>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</si>
  <si>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</si>
  <si>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</si>
  <si>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</si>
  <si>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</si>
  <si>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</si>
  <si>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</si>
  <si>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</si>
  <si>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</si>
  <si>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</si>
  <si>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</si>
  <si>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</si>
  <si>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</si>
  <si>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</si>
  <si>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</si>
  <si>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</si>
  <si>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</si>
  <si>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</si>
  <si>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</si>
  <si>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</si>
  <si>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</si>
  <si>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</si>
  <si>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</si>
  <si>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</si>
  <si>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</si>
  <si>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</si>
  <si>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</si>
  <si>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</si>
  <si>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</si>
  <si>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</si>
  <si>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</si>
  <si>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</si>
  <si>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</si>
  <si>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</si>
  <si>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</si>
  <si>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</si>
  <si>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</si>
  <si>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</si>
  <si>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</si>
  <si>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</si>
  <si>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</si>
  <si>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</si>
  <si>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</si>
  <si>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</si>
  <si>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</si>
  <si>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</si>
  <si>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</si>
  <si>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</si>
  <si>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</si>
  <si>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</si>
  <si>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</si>
  <si>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</si>
  <si>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</si>
  <si>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</si>
  <si>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</si>
  <si>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</si>
  <si>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</si>
  <si>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</si>
  <si>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</si>
  <si>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</si>
  <si>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</si>
  <si>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</si>
  <si>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</si>
  <si>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</si>
  <si>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</si>
  <si>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</si>
  <si>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</si>
  <si>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</si>
  <si>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</si>
  <si>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</si>
  <si>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</si>
  <si>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</si>
  <si>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</si>
  <si>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</si>
  <si>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</si>
  <si>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</si>
  <si>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</si>
  <si>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</si>
  <si>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</si>
  <si>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</si>
  <si>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</si>
  <si>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</si>
  <si>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</si>
  <si>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</si>
  <si>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</si>
  <si>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</si>
  <si>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</si>
  <si>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</si>
  <si>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</si>
  <si>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</si>
  <si>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</si>
  <si>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</si>
  <si>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</si>
  <si>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</si>
  <si>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</si>
  <si>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</si>
  <si>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</si>
  <si>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</si>
  <si>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</si>
  <si>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</si>
  <si>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</si>
  <si>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</si>
  <si>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</si>
  <si>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</si>
  <si>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</si>
  <si>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</si>
  <si>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</si>
  <si>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</si>
  <si>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</si>
  <si>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</si>
  <si>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</si>
  <si>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</si>
  <si>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</si>
  <si>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</si>
  <si>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</si>
  <si>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</si>
  <si>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</si>
  <si>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</si>
  <si>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</si>
  <si>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</si>
  <si>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</si>
  <si>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</si>
  <si>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</si>
  <si>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</si>
  <si>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</si>
  <si>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</si>
  <si>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</si>
  <si>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</si>
  <si>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</si>
  <si>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</si>
  <si>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</si>
  <si>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</si>
  <si>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</si>
  <si>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</si>
  <si>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</si>
  <si>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</si>
  <si>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</si>
  <si>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</si>
  <si>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</si>
  <si>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</si>
  <si>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</si>
  <si>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</si>
  <si>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</si>
  <si>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</si>
  <si>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</si>
  <si>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</si>
  <si>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</si>
  <si>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</si>
  <si>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</si>
  <si>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</si>
  <si>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</si>
  <si>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</si>
  <si>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</si>
  <si>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</si>
  <si>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</si>
  <si>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</si>
  <si>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</si>
  <si>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</si>
  <si>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</si>
  <si>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</si>
  <si>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</si>
  <si>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</si>
  <si>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</si>
  <si>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</si>
  <si>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</si>
  <si>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</si>
  <si>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</si>
  <si>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</si>
  <si>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</si>
  <si>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</si>
  <si>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</si>
  <si>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</si>
  <si>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</si>
  <si>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</si>
  <si>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</si>
  <si>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</si>
  <si>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</si>
  <si>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</si>
  <si>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</si>
  <si>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</si>
  <si>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</si>
  <si>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</si>
  <si>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</si>
  <si>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</si>
  <si>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</si>
  <si>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</si>
  <si>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</si>
  <si>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</si>
  <si>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</si>
  <si>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</si>
  <si>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</si>
  <si>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</si>
  <si>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</si>
  <si>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</si>
  <si>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</si>
  <si>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</si>
  <si>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</si>
  <si>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</si>
  <si>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</si>
  <si>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</si>
  <si>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</si>
  <si>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</si>
  <si>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</si>
  <si>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</si>
  <si>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</si>
  <si>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</si>
  <si>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</si>
  <si>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</si>
  <si>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</si>
  <si>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</si>
  <si>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</si>
  <si>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</si>
  <si>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</si>
  <si>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</si>
  <si>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</si>
  <si>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</si>
  <si>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</si>
  <si>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</si>
  <si>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</si>
  <si>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</si>
  <si>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</si>
  <si>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</si>
  <si>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</si>
  <si>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</si>
  <si>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</si>
  <si>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</si>
  <si>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</si>
  <si>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</si>
  <si>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</si>
  <si>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</si>
  <si>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</si>
  <si>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</si>
  <si>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</si>
  <si>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</si>
  <si>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</si>
  <si>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</si>
  <si>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</si>
  <si>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</si>
  <si>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</si>
  <si>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</si>
  <si>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</si>
  <si>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</si>
  <si>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</si>
  <si>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</si>
  <si>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</si>
  <si>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</si>
  <si>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</si>
  <si>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</si>
  <si>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</si>
  <si>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</si>
  <si>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</si>
  <si>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</si>
  <si>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</si>
  <si>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</si>
  <si>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</si>
  <si>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</si>
  <si>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</si>
  <si>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</si>
  <si>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</si>
  <si>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</si>
  <si>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</si>
  <si>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</si>
  <si>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</si>
  <si>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</si>
  <si>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</si>
  <si>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</si>
  <si>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</si>
  <si>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</si>
  <si>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</si>
  <si>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</si>
  <si>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</si>
  <si>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</si>
  <si>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</si>
  <si>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</si>
  <si>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</si>
  <si>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</si>
  <si>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</si>
  <si>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</si>
  <si>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</si>
  <si>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</si>
  <si>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</si>
  <si>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</si>
  <si>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</si>
  <si>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</si>
  <si>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</si>
  <si>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</si>
  <si>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</si>
  <si>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</si>
  <si>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</si>
  <si>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</si>
  <si>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</si>
  <si>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</si>
  <si>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</si>
  <si>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</si>
  <si>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</si>
  <si>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</si>
  <si>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</si>
  <si>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</si>
  <si>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</si>
  <si>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</si>
  <si>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</si>
  <si>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</si>
  <si>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</si>
  <si>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</si>
  <si>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</si>
  <si>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</si>
  <si>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</si>
  <si>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</si>
  <si>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</si>
  <si>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</si>
  <si>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</si>
  <si>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</si>
  <si>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</si>
  <si>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</si>
  <si>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</si>
  <si>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</si>
  <si>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</si>
  <si>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</si>
  <si>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</si>
  <si>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</si>
  <si>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</si>
  <si>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</si>
  <si>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</si>
  <si>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</si>
  <si>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</si>
  <si>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</si>
  <si>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</si>
  <si>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</si>
  <si>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</si>
  <si>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</si>
  <si>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</si>
  <si>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</si>
  <si>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</si>
  <si>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</si>
  <si>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</si>
  <si>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</si>
  <si>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</si>
  <si>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</si>
  <si>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</si>
  <si>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</si>
  <si>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</si>
  <si>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</si>
  <si>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</si>
  <si>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</si>
  <si>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</si>
  <si>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</si>
  <si>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</si>
  <si>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</si>
  <si>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</si>
  <si>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</si>
  <si>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</si>
  <si>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</si>
  <si>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</si>
  <si>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</si>
  <si>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</si>
  <si>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</si>
  <si>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</si>
  <si>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</si>
  <si>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</si>
  <si>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</si>
  <si>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</si>
  <si>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</si>
  <si>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</si>
  <si>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</si>
  <si>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</si>
  <si>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</si>
  <si>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</si>
  <si>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</si>
  <si>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</si>
  <si>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</si>
  <si>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</si>
  <si>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</si>
  <si>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</si>
  <si>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</si>
  <si>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</si>
  <si>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</si>
  <si>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</si>
  <si>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</si>
  <si>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</si>
  <si>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</si>
  <si>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</si>
  <si>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</si>
  <si>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</si>
  <si>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</si>
  <si>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</si>
  <si>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</si>
  <si>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</si>
  <si>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</si>
  <si>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</si>
  <si>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</si>
  <si>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</si>
  <si>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</si>
  <si>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</si>
  <si>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</si>
  <si>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</si>
  <si>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</si>
  <si>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</si>
  <si>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</si>
  <si>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</si>
  <si>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</si>
  <si>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</si>
  <si>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</si>
  <si>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</si>
  <si>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</si>
  <si>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</si>
  <si>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</si>
  <si>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</si>
  <si>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</si>
  <si>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</si>
  <si>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</si>
  <si>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</si>
  <si>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</si>
  <si>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</si>
  <si>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</si>
  <si>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</si>
  <si>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</si>
  <si>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</si>
  <si>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</si>
  <si>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</si>
  <si>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</si>
  <si>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</si>
  <si>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</si>
  <si>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</si>
  <si>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</si>
  <si>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</si>
  <si>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</si>
  <si>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</si>
  <si>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</si>
  <si>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</si>
  <si>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</si>
  <si>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</si>
  <si>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</si>
  <si>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</si>
  <si>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</si>
  <si>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</si>
  <si>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</si>
  <si>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</si>
  <si>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</si>
  <si>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</si>
  <si>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</si>
  <si>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</si>
  <si>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</si>
  <si>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</si>
  <si>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</si>
  <si>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</si>
  <si>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</si>
  <si>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</si>
  <si>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</si>
  <si>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</si>
  <si>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</si>
  <si>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</si>
  <si>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</si>
  <si>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</si>
  <si>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</si>
  <si>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</si>
  <si>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</si>
  <si>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</si>
  <si>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</si>
  <si>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</si>
  <si>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</si>
  <si>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</si>
  <si>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</si>
  <si>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</si>
  <si>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</si>
  <si>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</si>
  <si>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</si>
  <si>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</si>
  <si>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</si>
  <si>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</si>
  <si>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</si>
  <si>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</si>
  <si>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</si>
  <si>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</si>
  <si>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</si>
  <si>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</si>
  <si>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</si>
  <si>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</si>
  <si>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</si>
  <si>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</si>
  <si>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</si>
  <si>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</si>
  <si>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</si>
  <si>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</si>
  <si>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</si>
  <si>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</si>
  <si>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</si>
  <si>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</si>
  <si>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</si>
  <si>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</si>
  <si>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</si>
  <si>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</si>
  <si>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</si>
  <si>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</si>
  <si>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</si>
  <si>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</si>
  <si>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</si>
  <si>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</si>
  <si>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</si>
  <si>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</si>
  <si>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</si>
  <si>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</si>
  <si>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</si>
  <si>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</si>
  <si>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</si>
  <si>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</si>
  <si>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</si>
  <si>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</si>
  <si>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</si>
  <si>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</si>
  <si>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</si>
  <si>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</si>
  <si>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</si>
  <si>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</si>
  <si>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</si>
  <si>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</si>
  <si>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</si>
  <si>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</si>
  <si>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</si>
  <si>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</si>
  <si>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</si>
  <si>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</si>
  <si>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</si>
  <si>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</si>
  <si>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</si>
  <si>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</si>
  <si>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</si>
  <si>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</si>
  <si>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</si>
  <si>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</si>
  <si>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</si>
  <si>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</si>
  <si>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</si>
  <si>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</si>
  <si>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</si>
  <si>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</si>
  <si>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</si>
  <si>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</si>
  <si>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</si>
  <si>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</si>
  <si>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</si>
  <si>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</si>
  <si>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</si>
  <si>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</si>
  <si>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</si>
  <si>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</si>
  <si>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</si>
  <si>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</si>
  <si>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</si>
  <si>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</si>
  <si>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</si>
  <si>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</si>
  <si>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</si>
  <si>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</si>
  <si>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</si>
  <si>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</si>
  <si>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</si>
  <si>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</si>
  <si>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</si>
  <si>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</si>
  <si>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</si>
  <si>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</si>
  <si>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</si>
  <si>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</si>
  <si>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</si>
  <si>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</si>
  <si>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</si>
  <si>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</si>
  <si>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</si>
  <si>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</si>
  <si>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</si>
  <si>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</si>
  <si>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</si>
  <si>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</si>
  <si>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</si>
  <si>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</si>
  <si>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</si>
  <si>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</si>
  <si>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</si>
  <si>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</si>
  <si>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</si>
  <si>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</si>
  <si>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</si>
  <si>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</si>
  <si>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</si>
  <si>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</si>
  <si>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</si>
  <si>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</si>
  <si>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</si>
  <si>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</si>
  <si>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</si>
  <si>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</si>
  <si>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</si>
  <si>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</si>
  <si>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</si>
  <si>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</si>
  <si>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</si>
  <si>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</si>
  <si>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</si>
  <si>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</si>
  <si>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</si>
  <si>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</si>
  <si>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</si>
  <si>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</si>
  <si>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</si>
  <si>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</si>
  <si>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</si>
  <si>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</si>
  <si>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</si>
  <si>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</si>
  <si>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</si>
  <si>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</si>
  <si>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</si>
  <si>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</si>
  <si>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</si>
  <si>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</si>
  <si>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</si>
  <si>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</si>
  <si>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</si>
  <si>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</si>
  <si>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</si>
  <si>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</si>
  <si>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</si>
  <si>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</si>
  <si>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</si>
  <si>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</si>
  <si>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</si>
  <si>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</si>
  <si>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</si>
  <si>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</si>
  <si>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</si>
  <si>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</si>
  <si>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</si>
  <si>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</si>
  <si>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</si>
  <si>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</si>
  <si>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</si>
  <si>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</si>
  <si>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</si>
  <si>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</si>
  <si>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</si>
  <si>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</si>
  <si>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</si>
  <si>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</si>
  <si>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</si>
  <si>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</si>
  <si>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</si>
  <si>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</si>
  <si>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</si>
  <si>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</si>
  <si>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</si>
  <si>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</si>
  <si>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</si>
  <si>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</si>
  <si>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</si>
  <si>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</si>
  <si>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</si>
  <si>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</si>
  <si>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</si>
  <si>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</si>
  <si>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</si>
  <si>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</si>
  <si>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</si>
  <si>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</si>
  <si>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</si>
  <si>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</si>
  <si>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</si>
  <si>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</si>
  <si>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</si>
  <si>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</si>
  <si>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</si>
  <si>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</si>
  <si>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</si>
  <si>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</si>
  <si>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</si>
  <si>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</si>
  <si>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</si>
  <si>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</si>
  <si>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</si>
  <si>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</si>
  <si>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</si>
  <si>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</si>
  <si>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</si>
  <si>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</si>
  <si>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</si>
  <si>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</si>
  <si>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</si>
  <si>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</si>
  <si>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</si>
  <si>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</si>
  <si>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</si>
  <si>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</si>
  <si>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</si>
  <si>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</si>
  <si>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</si>
  <si>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</si>
  <si>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</si>
  <si>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</si>
  <si>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</si>
  <si>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</si>
  <si>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</si>
  <si>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</si>
  <si>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</si>
  <si>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</si>
  <si>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</si>
  <si>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</si>
  <si>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</si>
  <si>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</si>
  <si>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</si>
  <si>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</si>
  <si>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</si>
  <si>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</si>
  <si>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</si>
  <si>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</si>
  <si>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</si>
  <si>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</si>
  <si>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</si>
  <si>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</si>
  <si>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</si>
  <si>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</si>
  <si>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</si>
  <si>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</si>
  <si>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</si>
  <si>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</si>
  <si>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</si>
  <si>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</si>
  <si>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</si>
  <si>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</si>
  <si>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</si>
  <si>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</si>
  <si>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</si>
  <si>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</si>
  <si>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</si>
  <si>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</si>
  <si>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</si>
  <si>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</si>
  <si>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</si>
  <si>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</si>
  <si>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</si>
  <si>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</si>
  <si>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</si>
  <si>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</si>
  <si>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</si>
  <si>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</si>
  <si>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</si>
  <si>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</si>
  <si>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</si>
  <si>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</si>
  <si>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</si>
  <si>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</si>
  <si>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</si>
  <si>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</si>
  <si>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</si>
  <si>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</si>
  <si>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</si>
  <si>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</si>
  <si>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</si>
  <si>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</si>
  <si>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</si>
  <si>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</si>
  <si>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</si>
  <si>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</si>
  <si>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</si>
  <si>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</si>
  <si>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</si>
  <si>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</si>
  <si>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</si>
  <si>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</si>
  <si>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</si>
  <si>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</si>
  <si>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</si>
  <si>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</si>
  <si>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</si>
  <si>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</si>
  <si>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</si>
  <si>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</si>
  <si>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</si>
  <si>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</si>
  <si>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</si>
  <si>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</si>
  <si>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</si>
  <si>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</si>
  <si>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</si>
  <si>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</si>
  <si>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</si>
  <si>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</si>
  <si>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</si>
  <si>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</si>
  <si>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</si>
  <si>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</si>
  <si>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</si>
  <si>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</si>
  <si>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</si>
  <si>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</si>
  <si>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</si>
  <si>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</si>
  <si>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</si>
  <si>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</si>
  <si>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</si>
  <si>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</si>
  <si>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</si>
  <si>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</si>
  <si>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</si>
  <si>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</si>
  <si>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</si>
  <si>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</si>
  <si>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</si>
  <si>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</si>
  <si>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</si>
  <si>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</si>
  <si>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</si>
  <si>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</si>
  <si>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</si>
  <si>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</si>
  <si>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</si>
  <si>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</si>
  <si>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</si>
  <si>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</si>
  <si>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</si>
  <si>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</si>
  <si>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</si>
  <si>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</si>
  <si>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</si>
  <si>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</si>
  <si>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</si>
  <si>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</si>
  <si>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</si>
  <si>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</si>
  <si>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</si>
  <si>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</si>
  <si>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</si>
  <si>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</si>
  <si>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</si>
  <si>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</si>
  <si>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</si>
  <si>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</si>
  <si>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</si>
  <si>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</si>
  <si>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</si>
  <si>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</si>
  <si>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</si>
  <si>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</si>
  <si>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</si>
  <si>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</si>
  <si>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</si>
  <si>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</si>
  <si>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</si>
  <si>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</si>
  <si>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</si>
  <si>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</si>
  <si>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</si>
  <si>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</si>
  <si>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</si>
  <si>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</si>
  <si>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</si>
  <si>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</si>
  <si>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</si>
  <si>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</si>
  <si>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</si>
  <si>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</si>
  <si>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</si>
  <si>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</si>
  <si>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</si>
  <si>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</si>
  <si>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</si>
  <si>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</si>
  <si>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</si>
  <si>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</si>
  <si>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</si>
  <si>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</si>
  <si>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</si>
  <si>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</si>
  <si>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</si>
  <si>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</si>
  <si>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</si>
  <si>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</si>
  <si>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</si>
  <si>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</si>
  <si>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</si>
  <si>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</si>
  <si>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</si>
  <si>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</si>
  <si>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</si>
  <si>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</si>
  <si>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</si>
  <si>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</si>
  <si>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</si>
  <si>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</si>
  <si>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</si>
  <si>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</si>
  <si>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</si>
  <si>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</si>
  <si>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</si>
  <si>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</si>
  <si>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</si>
  <si>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</si>
  <si>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</si>
  <si>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</si>
  <si>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</si>
  <si>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</si>
  <si>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</si>
  <si>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</si>
  <si>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</si>
  <si>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</si>
  <si>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</si>
  <si>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</si>
  <si>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</si>
  <si>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</si>
  <si>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</si>
  <si>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</si>
  <si>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</si>
  <si>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</si>
  <si>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</si>
  <si>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</si>
  <si>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</si>
  <si>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</si>
  <si>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</si>
  <si>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</si>
  <si>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</si>
  <si>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</si>
  <si>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</si>
  <si>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</si>
  <si>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</si>
  <si>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</si>
  <si>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</si>
  <si>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</si>
  <si>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</si>
  <si>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</si>
  <si>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</si>
  <si>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</si>
  <si>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</si>
  <si>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</si>
  <si>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</si>
  <si>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</si>
  <si>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</si>
  <si>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</si>
  <si>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</si>
  <si>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</si>
  <si>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</si>
  <si>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</si>
  <si>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</si>
  <si>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</si>
  <si>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</si>
  <si>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</si>
  <si>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</si>
  <si>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</si>
  <si>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</si>
  <si>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</si>
  <si>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</si>
  <si>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</si>
  <si>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</si>
  <si>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</si>
  <si>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</si>
  <si>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</si>
  <si>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</si>
  <si>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</si>
  <si>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</si>
  <si>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</si>
  <si>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</si>
  <si>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</si>
  <si>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</si>
  <si>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</si>
  <si>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</si>
  <si>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</si>
  <si>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</si>
  <si>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</si>
  <si>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</si>
  <si>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</si>
  <si>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</si>
  <si>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</si>
  <si>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</si>
  <si>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</si>
  <si>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</si>
  <si>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</si>
  <si>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</si>
  <si>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</si>
  <si>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</si>
  <si>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</si>
  <si>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</si>
  <si>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</si>
  <si>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</si>
  <si>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</si>
  <si>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</si>
  <si>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</si>
  <si>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</si>
  <si>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</si>
  <si>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</si>
  <si>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</si>
  <si>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</si>
  <si>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</si>
  <si>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</si>
  <si>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</si>
  <si>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</si>
  <si>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</si>
  <si>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</si>
  <si>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</si>
  <si>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</si>
  <si>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</si>
  <si>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</si>
  <si>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</si>
  <si>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</si>
  <si>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</si>
  <si>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</si>
  <si>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</si>
  <si>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</si>
  <si>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</si>
  <si>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</si>
  <si>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</si>
  <si>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</si>
  <si>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</si>
  <si>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</si>
  <si>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</si>
  <si>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</si>
  <si>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</si>
  <si>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</si>
  <si>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</si>
  <si>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</si>
  <si>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</si>
  <si>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</si>
  <si>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</si>
  <si>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</si>
  <si>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</si>
  <si>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</si>
  <si>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</si>
  <si>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</si>
  <si>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</si>
  <si>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</si>
  <si>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</si>
  <si>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</si>
  <si>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</si>
  <si>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</si>
  <si>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</si>
  <si>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</si>
  <si>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</si>
  <si>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</si>
  <si>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</si>
  <si>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</si>
  <si>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</si>
  <si>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</si>
  <si>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</si>
  <si>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</si>
  <si>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</si>
  <si>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</si>
  <si>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</si>
  <si>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</si>
  <si>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</si>
  <si>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</si>
  <si>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</si>
  <si>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</si>
  <si>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</si>
  <si>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</si>
  <si>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</si>
  <si>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</si>
  <si>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</si>
  <si>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</si>
  <si>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</si>
  <si>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</si>
  <si>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</si>
  <si>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</si>
  <si>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</si>
  <si>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</si>
  <si>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</si>
  <si>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</si>
  <si>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</si>
  <si>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</si>
  <si>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</si>
  <si>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</si>
  <si>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</si>
  <si>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</si>
  <si>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</si>
  <si>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</si>
  <si>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</si>
  <si>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</si>
  <si>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</si>
  <si>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</si>
  <si>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</si>
  <si>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</si>
  <si>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</si>
  <si>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</si>
  <si>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</si>
  <si>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</si>
  <si>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</si>
  <si>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</si>
  <si>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</si>
  <si>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</si>
  <si>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</si>
  <si>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</si>
  <si>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</si>
  <si>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</si>
  <si>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</si>
  <si>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</si>
  <si>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</si>
  <si>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</si>
  <si>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</si>
  <si>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</si>
  <si>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</si>
  <si>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</si>
  <si>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</si>
  <si>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</si>
  <si>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</si>
  <si>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</si>
  <si>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</si>
  <si>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</si>
  <si>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</si>
  <si>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</si>
  <si>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</si>
  <si>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</si>
  <si>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</si>
  <si>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</si>
  <si>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</si>
  <si>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</si>
  <si>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</si>
  <si>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</si>
  <si>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</si>
  <si>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</si>
  <si>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</si>
  <si>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</si>
  <si>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</si>
  <si>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</si>
  <si>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</si>
  <si>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</si>
  <si>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</si>
  <si>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</si>
  <si>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</si>
  <si>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</si>
  <si>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</si>
  <si>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</si>
  <si>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</si>
  <si>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</si>
  <si>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</si>
  <si>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</si>
  <si>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</si>
  <si>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</si>
  <si>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</si>
  <si>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</si>
  <si>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</si>
  <si>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</si>
  <si>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</si>
  <si>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</si>
  <si>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</si>
  <si>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</si>
  <si>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</si>
  <si>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</si>
  <si>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</si>
  <si>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</si>
  <si>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</si>
  <si>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</si>
  <si>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</si>
  <si>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</si>
  <si>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</si>
  <si>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</si>
  <si>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</si>
  <si>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</si>
  <si>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</si>
  <si>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</si>
  <si>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</si>
  <si>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</si>
  <si>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</si>
  <si>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</si>
  <si>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</si>
  <si>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</si>
  <si>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</si>
  <si>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</si>
  <si>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</si>
  <si>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</si>
  <si>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</si>
  <si>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</si>
  <si>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</si>
  <si>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</si>
  <si>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</si>
  <si>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</si>
  <si>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</si>
  <si>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</si>
  <si>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</si>
  <si>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</si>
  <si>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</si>
  <si>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</si>
  <si>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</si>
  <si>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</si>
  <si>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</si>
  <si>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</si>
  <si>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</si>
  <si>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</si>
  <si>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</si>
  <si>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</si>
  <si>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</si>
  <si>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</si>
  <si>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</si>
  <si>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</si>
  <si>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</si>
  <si>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</si>
  <si>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</si>
  <si>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</si>
  <si>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</si>
  <si>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</si>
  <si>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</si>
  <si>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</si>
  <si>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</si>
  <si>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</si>
  <si>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</si>
  <si>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</si>
  <si>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</si>
  <si>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</si>
  <si>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</si>
  <si>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</si>
  <si>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</si>
  <si>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</si>
  <si>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</si>
  <si>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</si>
  <si>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</si>
  <si>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</si>
  <si>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</si>
  <si>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</si>
  <si>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</si>
  <si>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</si>
  <si>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</si>
  <si>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</si>
  <si>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</si>
  <si>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</si>
  <si>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</si>
  <si>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</si>
  <si>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</si>
  <si>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</si>
  <si>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</si>
  <si>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</si>
  <si>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</si>
  <si>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</si>
  <si>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</si>
  <si>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</si>
  <si>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</si>
  <si>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</si>
  <si>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</si>
  <si>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</si>
  <si>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</si>
  <si>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</si>
  <si>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</si>
  <si>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</si>
  <si>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</si>
  <si>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</si>
  <si>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</si>
  <si>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</si>
  <si>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</si>
  <si>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</si>
  <si>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</si>
  <si>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</si>
  <si>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</si>
  <si>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</si>
  <si>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</si>
  <si>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</si>
  <si>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</si>
  <si>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</si>
  <si>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</si>
  <si>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</si>
  <si>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</si>
  <si>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</si>
  <si>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</si>
  <si>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</si>
  <si>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</si>
  <si>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</si>
  <si>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</si>
  <si>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</si>
  <si>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</si>
  <si>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</si>
  <si>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</si>
  <si>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</si>
  <si>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</si>
  <si>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</si>
  <si>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</si>
  <si>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</si>
  <si>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</si>
  <si>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</si>
  <si>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</si>
  <si>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</si>
  <si>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</si>
  <si>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</si>
  <si>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</si>
  <si>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</si>
  <si>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</si>
  <si>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</si>
  <si>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</si>
  <si>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</si>
  <si>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</si>
  <si>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</si>
  <si>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</si>
  <si>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</si>
  <si>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</si>
  <si>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</si>
  <si>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</si>
  <si>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</si>
  <si>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</si>
  <si>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</si>
  <si>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</si>
  <si>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</si>
  <si>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</si>
  <si>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</si>
  <si>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</si>
  <si>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</si>
  <si>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</si>
  <si>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</si>
  <si>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</si>
  <si>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</si>
  <si>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</si>
  <si>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</si>
  <si>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</si>
  <si>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</si>
  <si>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</si>
  <si>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</si>
  <si>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</si>
  <si>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</si>
  <si>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</si>
  <si>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</si>
  <si>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</si>
  <si>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</si>
  <si>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</si>
  <si>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</si>
  <si>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</si>
  <si>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</si>
  <si>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</si>
  <si>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</si>
  <si>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</si>
  <si>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</si>
  <si>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</si>
  <si>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</si>
  <si>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</si>
  <si>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</si>
  <si>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</si>
  <si>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</si>
  <si>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</si>
  <si>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</si>
  <si>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</si>
  <si>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</si>
  <si>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</si>
  <si>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</si>
  <si>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</si>
  <si>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</si>
  <si>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</si>
  <si>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</si>
  <si>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</si>
  <si>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</si>
  <si>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</si>
  <si>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</si>
  <si>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</si>
  <si>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</si>
  <si>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</si>
  <si>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</si>
  <si>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</si>
  <si>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</si>
  <si>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</si>
  <si>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</si>
  <si>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</si>
  <si>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</si>
  <si>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</si>
  <si>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</si>
  <si>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</si>
  <si>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</si>
  <si>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</si>
  <si>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</si>
  <si>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</si>
  <si>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</si>
  <si>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</si>
  <si>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</si>
  <si>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</si>
  <si>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</si>
  <si>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</si>
  <si>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</si>
  <si>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</si>
  <si>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</si>
  <si>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</si>
  <si>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</si>
  <si>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</si>
  <si>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</si>
  <si>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</si>
  <si>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</si>
  <si>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</si>
  <si>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</si>
  <si>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</si>
  <si>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</si>
  <si>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</si>
  <si>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</si>
  <si>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</si>
  <si>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</si>
  <si>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</si>
  <si>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</si>
  <si>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</si>
  <si>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</si>
  <si>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</si>
  <si>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</si>
  <si>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</si>
  <si>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</si>
  <si>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</si>
  <si>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</si>
  <si>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</si>
  <si>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</si>
  <si>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</si>
  <si>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</si>
  <si>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</si>
  <si>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</si>
  <si>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</si>
  <si>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</si>
  <si>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</si>
  <si>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</si>
  <si>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</si>
  <si>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</si>
  <si>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</si>
  <si>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</si>
  <si>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</si>
  <si>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</si>
  <si>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</si>
  <si>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</si>
  <si>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</si>
  <si>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</si>
  <si>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</si>
  <si>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</si>
  <si>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</si>
  <si>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</si>
  <si>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</si>
  <si>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</si>
  <si>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</si>
  <si>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</si>
  <si>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</si>
  <si>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</si>
  <si>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</si>
  <si>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</si>
  <si>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</si>
  <si>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</si>
  <si>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</si>
  <si>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</si>
  <si>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</si>
  <si>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</si>
  <si>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</si>
  <si>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</si>
  <si>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</si>
  <si>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</si>
  <si>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</si>
  <si>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</si>
  <si>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</si>
  <si>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</si>
  <si>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</si>
  <si>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</si>
  <si>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</si>
  <si>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</si>
  <si>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</si>
  <si>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</si>
  <si>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</si>
  <si>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</si>
  <si>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</si>
  <si>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</si>
  <si>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</si>
  <si>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</si>
  <si>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</si>
  <si>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</si>
  <si>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</si>
  <si>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</si>
  <si>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</si>
  <si>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</si>
  <si>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</si>
  <si>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</si>
  <si>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</si>
  <si>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</si>
  <si>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</si>
  <si>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</si>
  <si>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</si>
  <si>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</si>
  <si>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</si>
  <si>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</si>
  <si>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</si>
  <si>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</si>
  <si>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</si>
  <si>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</si>
  <si>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</si>
  <si>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</si>
  <si>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</si>
  <si>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</si>
  <si>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</si>
  <si>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</si>
  <si>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</si>
  <si>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</si>
  <si>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</si>
  <si>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</si>
  <si>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</si>
  <si>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</si>
  <si>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</si>
  <si>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</si>
  <si>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</si>
  <si>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</si>
  <si>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</si>
  <si>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</si>
  <si>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</si>
  <si>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</si>
  <si>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</si>
  <si>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</si>
  <si>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</si>
  <si>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</si>
  <si>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</si>
  <si>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</si>
  <si>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</si>
  <si>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</si>
  <si>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</si>
  <si>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</si>
  <si>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</si>
  <si>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</si>
  <si>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</si>
  <si>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</si>
  <si>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</si>
  <si>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</si>
  <si>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</si>
  <si>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</si>
  <si>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</si>
  <si>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</si>
  <si>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</si>
  <si>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</si>
  <si>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</si>
  <si>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</si>
  <si>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</si>
  <si>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</si>
  <si>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</si>
  <si>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</si>
  <si>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</si>
  <si>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</si>
  <si>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</si>
  <si>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</si>
  <si>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</si>
  <si>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</si>
  <si>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</si>
  <si>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</si>
  <si>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</si>
  <si>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</si>
  <si>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</si>
  <si>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</si>
  <si>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</si>
  <si>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</si>
  <si>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</si>
  <si>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</si>
  <si>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</si>
  <si>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</si>
  <si>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</si>
  <si>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</si>
  <si>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</si>
  <si>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</si>
  <si>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</si>
  <si>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</si>
  <si>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</si>
  <si>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</si>
  <si>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</si>
  <si>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</si>
  <si>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</si>
  <si>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</si>
  <si>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</si>
  <si>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</si>
  <si>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</si>
  <si>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</si>
  <si>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</si>
  <si>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</si>
  <si>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</si>
  <si>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</si>
  <si>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</si>
  <si>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</si>
  <si>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</si>
  <si>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</si>
  <si>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</si>
  <si>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</si>
  <si>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</si>
  <si>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</si>
  <si>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</si>
  <si>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</si>
  <si>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</si>
  <si>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</si>
  <si>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</si>
  <si>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</si>
  <si>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</si>
  <si>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</si>
  <si>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</si>
  <si>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</si>
  <si>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</si>
  <si>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</si>
  <si>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</si>
  <si>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</si>
  <si>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</si>
  <si>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</si>
  <si>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</si>
  <si>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</si>
  <si>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</si>
  <si>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</si>
  <si>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</si>
  <si>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</si>
  <si>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</si>
  <si>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</si>
  <si>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</si>
  <si>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</si>
  <si>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</si>
  <si>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</si>
  <si>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</si>
  <si>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</si>
  <si>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</si>
  <si>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</si>
  <si>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</si>
  <si>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</si>
  <si>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</si>
  <si>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</si>
  <si>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</si>
  <si>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</si>
  <si>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</si>
  <si>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</si>
  <si>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</si>
  <si>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</si>
  <si>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</si>
  <si>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</si>
  <si>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</si>
  <si>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</si>
  <si>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</si>
  <si>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</si>
  <si>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</si>
  <si>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</si>
  <si>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</si>
  <si>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</si>
  <si>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</si>
  <si>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</si>
  <si>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</si>
  <si>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</si>
  <si>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</si>
  <si>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</si>
  <si>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</si>
  <si>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</si>
  <si>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</si>
  <si>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</si>
  <si>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</si>
  <si>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</si>
  <si>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</si>
  <si>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</si>
  <si>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</si>
  <si>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</si>
  <si>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</si>
  <si>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</si>
  <si>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</si>
  <si>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</si>
  <si>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</si>
  <si>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</si>
  <si>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</si>
  <si>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</si>
  <si>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</si>
  <si>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</si>
  <si>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</si>
  <si>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</si>
  <si>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</si>
  <si>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</si>
  <si>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</si>
  <si>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</si>
  <si>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</si>
  <si>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</si>
  <si>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</si>
  <si>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</si>
  <si>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</si>
  <si>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</si>
  <si>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</si>
  <si>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</si>
  <si>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</si>
  <si>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</si>
  <si>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</si>
  <si>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</si>
  <si>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</si>
  <si>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</si>
  <si>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</si>
  <si>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</si>
  <si>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</si>
  <si>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</si>
  <si>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</si>
  <si>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</si>
  <si>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</si>
  <si>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</si>
  <si>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</si>
  <si>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</si>
  <si>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</si>
  <si>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</si>
  <si>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</si>
  <si>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</si>
  <si>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</si>
  <si>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</si>
  <si>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</si>
  <si>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</si>
  <si>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</si>
  <si>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</si>
  <si>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</si>
  <si>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</si>
  <si>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</si>
  <si>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</si>
  <si>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</si>
  <si>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</si>
  <si>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</si>
  <si>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</si>
  <si>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</si>
  <si>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</si>
  <si>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</si>
  <si>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</si>
  <si>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</si>
  <si>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</si>
  <si>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</si>
  <si>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</si>
  <si>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</si>
  <si>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</si>
  <si>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</si>
  <si>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</si>
  <si>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</si>
  <si>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</si>
  <si>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</si>
  <si>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</si>
  <si>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</si>
  <si>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</si>
  <si>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</si>
  <si>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</si>
  <si>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</si>
  <si>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</si>
  <si>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</si>
  <si>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</si>
  <si>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</si>
  <si>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</si>
  <si>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</si>
  <si>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</si>
  <si>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</si>
  <si>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</si>
  <si>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</si>
  <si>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</si>
  <si>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</si>
  <si>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</si>
  <si>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</si>
  <si>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</si>
  <si>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</si>
  <si>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</si>
  <si>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</si>
  <si>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</si>
  <si>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</si>
  <si>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</si>
  <si>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</si>
  <si>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</si>
  <si>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</si>
  <si>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</si>
  <si>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</si>
  <si>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</si>
  <si>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</si>
  <si>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</si>
  <si>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</si>
  <si>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</si>
  <si>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</si>
  <si>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</si>
  <si>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</si>
  <si>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</si>
  <si>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</si>
  <si>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</si>
  <si>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</si>
  <si>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</si>
  <si>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</si>
  <si>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</si>
  <si>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</si>
  <si>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</si>
  <si>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</si>
  <si>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</si>
  <si>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</si>
  <si>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</si>
  <si>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</si>
  <si>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</si>
  <si>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</si>
  <si>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</si>
  <si>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</si>
  <si>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</si>
  <si>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</si>
  <si>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</si>
  <si>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</si>
  <si>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</si>
  <si>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</si>
  <si>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</si>
  <si>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</si>
  <si>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</si>
  <si>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</si>
  <si>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</si>
  <si>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</si>
  <si>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</si>
  <si>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</si>
  <si>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</si>
  <si>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</si>
  <si>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</si>
  <si>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</si>
  <si>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</si>
  <si>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</si>
  <si>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</si>
  <si>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</si>
  <si>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</si>
  <si>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</si>
  <si>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</si>
  <si>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</si>
  <si>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</si>
  <si>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</si>
  <si>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</si>
  <si>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</si>
  <si>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</si>
  <si>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</si>
  <si>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</si>
  <si>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</si>
  <si>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</si>
  <si>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</si>
  <si>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</si>
  <si>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</si>
  <si>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</si>
  <si>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</si>
  <si>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</si>
  <si>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</si>
  <si>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</si>
  <si>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</si>
  <si>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</si>
  <si>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</si>
  <si>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</si>
  <si>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</si>
  <si>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</si>
  <si>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</si>
  <si>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</si>
  <si>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</si>
  <si>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</si>
  <si>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</si>
  <si>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</si>
  <si>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</si>
  <si>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</si>
  <si>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</si>
  <si>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</si>
  <si>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</si>
  <si>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</si>
  <si>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</si>
  <si>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</si>
  <si>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</si>
  <si>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</si>
  <si>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</si>
  <si>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</si>
  <si>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</si>
  <si>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</si>
  <si>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</si>
  <si>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</si>
  <si>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</si>
  <si>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</si>
  <si>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</si>
  <si>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</si>
  <si>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</si>
  <si>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</si>
  <si>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</si>
  <si>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</si>
  <si>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</si>
  <si>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</si>
  <si>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</si>
  <si>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</si>
  <si>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</si>
  <si>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</si>
  <si>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</si>
  <si>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</si>
  <si>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</si>
  <si>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</si>
  <si>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</si>
  <si>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</si>
  <si>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</si>
  <si>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</si>
  <si>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</si>
  <si>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</si>
  <si>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</si>
  <si>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</si>
  <si>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</si>
  <si>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</si>
  <si>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</si>
  <si>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</si>
  <si>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</si>
  <si>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</si>
  <si>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</si>
  <si>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</si>
  <si>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</si>
  <si>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</si>
  <si>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</si>
  <si>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</si>
  <si>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</si>
  <si>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</si>
  <si>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</si>
  <si>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</si>
  <si>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</si>
  <si>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</si>
  <si>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</si>
  <si>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</si>
  <si>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</si>
  <si>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</si>
  <si>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</si>
  <si>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</si>
  <si>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</si>
  <si>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</si>
  <si>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</si>
  <si>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</si>
  <si>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</si>
  <si>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</si>
  <si>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</si>
  <si>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95193122518</t>
  </si>
  <si>
    <t>02332264</t>
  </si>
  <si>
    <t>070081981</t>
  </si>
  <si>
    <t>IVKOM-PLIN d.o.o.</t>
  </si>
  <si>
    <t>IVANEC</t>
  </si>
  <si>
    <t>V.NAZORA 96 b</t>
  </si>
  <si>
    <t>ivkom.plin@ivkom.plin.hr</t>
  </si>
  <si>
    <t>042/770-574</t>
  </si>
  <si>
    <t>www.ivkom.plin.hr</t>
  </si>
  <si>
    <t>3136906</t>
  </si>
  <si>
    <t>SLAVA MARTINČEVIĆ</t>
  </si>
  <si>
    <t>slavica@ivkom.hr</t>
  </si>
  <si>
    <t>PUTAR DARKO</t>
  </si>
  <si>
    <t>41748200389</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</si>
</sst>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0"/>
    </font>
    <font>
      <b/>
      <sz val="9"/>
      <name val="Tahoma"/>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0" fillId="20" borderId="1" applyNumberFormat="0" applyFont="0" applyAlignment="0" applyProtection="0"/>
    <xf numFmtId="0" fontId="78" fillId="21" borderId="0" applyNumberFormat="0" applyBorder="0" applyAlignment="0" applyProtection="0"/>
    <xf numFmtId="0" fontId="4" fillId="0" borderId="0" applyNumberFormat="0" applyFill="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7" fillId="26" borderId="0" applyNumberFormat="0" applyBorder="0" applyAlignment="0" applyProtection="0"/>
    <xf numFmtId="0" fontId="77" fillId="27" borderId="0" applyNumberFormat="0" applyBorder="0" applyAlignment="0" applyProtection="0"/>
    <xf numFmtId="0" fontId="79" fillId="28" borderId="2" applyNumberFormat="0" applyAlignment="0" applyProtection="0"/>
    <xf numFmtId="0" fontId="80" fillId="28" borderId="3" applyNumberFormat="0" applyAlignment="0" applyProtection="0"/>
    <xf numFmtId="0" fontId="81" fillId="29" borderId="0" applyNumberFormat="0" applyBorder="0" applyAlignment="0" applyProtection="0"/>
    <xf numFmtId="0" fontId="82" fillId="0" borderId="0" applyNumberFormat="0" applyFill="0" applyBorder="0" applyAlignment="0" applyProtection="0"/>
    <xf numFmtId="0" fontId="83" fillId="0" borderId="4" applyNumberFormat="0" applyFill="0" applyAlignment="0" applyProtection="0"/>
    <xf numFmtId="0" fontId="84" fillId="0" borderId="5" applyNumberFormat="0" applyFill="0" applyAlignment="0" applyProtection="0"/>
    <xf numFmtId="0" fontId="85" fillId="0" borderId="6" applyNumberFormat="0" applyFill="0" applyAlignment="0" applyProtection="0"/>
    <xf numFmtId="0" fontId="85" fillId="0" borderId="0" applyNumberFormat="0" applyFill="0" applyBorder="0" applyAlignment="0" applyProtection="0"/>
    <xf numFmtId="0" fontId="86" fillId="30" borderId="0" applyNumberFormat="0" applyBorder="0" applyAlignment="0" applyProtection="0"/>
    <xf numFmtId="9" fontId="0" fillId="0" borderId="0" applyFont="0" applyFill="0" applyBorder="0" applyAlignment="0" applyProtection="0"/>
    <xf numFmtId="0" fontId="87" fillId="0" borderId="7" applyNumberFormat="0" applyFill="0" applyAlignment="0" applyProtection="0"/>
    <xf numFmtId="0" fontId="5" fillId="0" borderId="0" applyNumberFormat="0" applyFill="0" applyBorder="0" applyAlignment="0" applyProtection="0"/>
    <xf numFmtId="0" fontId="88" fillId="31" borderId="8"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35" applyFont="1" applyFill="1" applyBorder="1" applyAlignment="1" applyProtection="1">
      <alignment horizontal="center" vertical="center" shrinkToFit="1"/>
      <protection hidden="1"/>
    </xf>
    <xf numFmtId="0" fontId="44" fillId="35" borderId="25" xfId="35"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35" applyFont="1" applyBorder="1" applyAlignment="1" applyProtection="1">
      <alignment vertical="center"/>
      <protection hidden="1"/>
    </xf>
    <xf numFmtId="0" fontId="56" fillId="0" borderId="49" xfId="35" applyFont="1" applyBorder="1" applyAlignment="1" applyProtection="1">
      <alignment vertical="center"/>
      <protection/>
    </xf>
    <xf numFmtId="0" fontId="56" fillId="0" borderId="50" xfId="35"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35"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35"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2020</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670610.72</v>
      </c>
      <c r="I3" s="31">
        <f>ABS(ROUND(J3,0)-J3)+ABS(ROUND(K3,0)-K3)</f>
        <v>0</v>
      </c>
      <c r="J3" s="31">
        <f>Bilanca!I10</f>
        <v>11348826</v>
      </c>
      <c r="K3" s="31">
        <f>Bilanca!J10</f>
        <v>11090855</v>
      </c>
    </row>
    <row r="4" spans="1:11" ht="12.75">
      <c r="A4" s="4" t="s">
        <v>1088</v>
      </c>
      <c r="B4" s="29" t="s">
        <v>1888</v>
      </c>
      <c r="D4" s="4" t="s">
        <v>1521</v>
      </c>
      <c r="E4" s="4">
        <v>1</v>
      </c>
      <c r="F4" s="4">
        <f>Bilanca!G11</f>
        <v>3</v>
      </c>
      <c r="G4" s="4">
        <f>IF(Bilanca!H11=0,"",Bilanca!H11)</f>
      </c>
      <c r="H4" s="30">
        <f>J4/100*F4+2*K4/100*F4</f>
        <v>66439.98</v>
      </c>
      <c r="I4" s="31">
        <f>ABS(ROUND(J4,0)-J4)+ABS(ROUND(K4,0)-K4)</f>
        <v>0</v>
      </c>
      <c r="J4" s="31">
        <f>Bilanca!I11</f>
        <v>619350</v>
      </c>
      <c r="K4" s="31">
        <f>Bilanca!J11</f>
        <v>797658</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02332264</v>
      </c>
      <c r="D6" s="4" t="s">
        <v>1521</v>
      </c>
      <c r="E6" s="4">
        <v>1</v>
      </c>
      <c r="F6" s="4">
        <f>Bilanca!G13</f>
        <v>5</v>
      </c>
      <c r="G6" s="4">
        <f>IF(Bilanca!H13=0,"",Bilanca!H13)</f>
      </c>
      <c r="H6" s="30">
        <f aca="true" t="shared" si="0" ref="H6:H45">J6/100*F6+2*K6/100*F6</f>
        <v>75</v>
      </c>
      <c r="I6" s="31">
        <f aca="true" t="shared" si="1" ref="I6:I45">ABS(ROUND(J6,0)-J6)+ABS(ROUND(K6,0)-K6)</f>
        <v>0</v>
      </c>
      <c r="J6" s="31">
        <f>Bilanca!I13</f>
        <v>0</v>
      </c>
      <c r="K6" s="31">
        <f>Bilanca!J13</f>
        <v>750</v>
      </c>
    </row>
    <row r="7" spans="1:11" ht="12.75">
      <c r="A7" s="4" t="s">
        <v>2353</v>
      </c>
      <c r="B7" s="29" t="str">
        <f>RefStr!M27</f>
        <v>070081981</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95193122518</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IVKOM-PLIN d.o.o.</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42240</v>
      </c>
      <c r="D10" s="4" t="s">
        <v>1521</v>
      </c>
      <c r="E10" s="4">
        <v>1</v>
      </c>
      <c r="F10" s="4">
        <f>Bilanca!G17</f>
        <v>9</v>
      </c>
      <c r="G10" s="4">
        <f>IF(Bilanca!H17=0,"",Bilanca!H17)</f>
      </c>
      <c r="H10" s="30">
        <f t="shared" si="0"/>
        <v>199184.94</v>
      </c>
      <c r="I10" s="31">
        <f t="shared" si="1"/>
        <v>0</v>
      </c>
      <c r="J10" s="31">
        <f>Bilanca!I17</f>
        <v>619350</v>
      </c>
      <c r="K10" s="31">
        <f>Bilanca!J17</f>
        <v>796908</v>
      </c>
    </row>
    <row r="11" spans="1:11" ht="12.75">
      <c r="A11" s="4" t="s">
        <v>2356</v>
      </c>
      <c r="B11" s="29" t="str">
        <f>TRIM(RefStr!F31)</f>
        <v>IVANEC</v>
      </c>
      <c r="D11" s="4" t="s">
        <v>1521</v>
      </c>
      <c r="E11" s="4">
        <v>1</v>
      </c>
      <c r="F11" s="4">
        <f>Bilanca!G18</f>
        <v>10</v>
      </c>
      <c r="G11" s="4">
        <f>IF(Bilanca!H18=0,"",Bilanca!H18)</f>
      </c>
      <c r="H11" s="30">
        <f t="shared" si="0"/>
        <v>3131587</v>
      </c>
      <c r="I11" s="31">
        <f t="shared" si="1"/>
        <v>0</v>
      </c>
      <c r="J11" s="31">
        <f>Bilanca!I18</f>
        <v>10729476</v>
      </c>
      <c r="K11" s="31">
        <f>Bilanca!J18</f>
        <v>10293197</v>
      </c>
    </row>
    <row r="12" spans="1:11" ht="12.75">
      <c r="A12" s="4" t="s">
        <v>2357</v>
      </c>
      <c r="B12" s="29" t="str">
        <f>TRIM(RefStr!C33)</f>
        <v>V.NAZORA 96 b</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ivkom.plin@ivkom.plin.hr</v>
      </c>
      <c r="D13" s="4" t="s">
        <v>1521</v>
      </c>
      <c r="E13" s="4">
        <v>1</v>
      </c>
      <c r="F13" s="4">
        <f>Bilanca!G20</f>
        <v>12</v>
      </c>
      <c r="G13" s="4">
        <f>IF(Bilanca!H20=0,"",Bilanca!H20)</f>
      </c>
      <c r="H13" s="30">
        <f t="shared" si="0"/>
        <v>3653525.76</v>
      </c>
      <c r="I13" s="31">
        <f t="shared" si="1"/>
        <v>0</v>
      </c>
      <c r="J13" s="31">
        <f>Bilanca!I20</f>
        <v>10381436</v>
      </c>
      <c r="K13" s="31">
        <f>Bilanca!J20</f>
        <v>10032306</v>
      </c>
    </row>
    <row r="14" spans="1:11" ht="12.75">
      <c r="A14" s="4" t="s">
        <v>1194</v>
      </c>
      <c r="B14" s="29" t="str">
        <f>TRIM(RefStr!C37)</f>
        <v>www.ivkom.plin.hr</v>
      </c>
      <c r="D14" s="4" t="s">
        <v>1521</v>
      </c>
      <c r="E14" s="4">
        <v>1</v>
      </c>
      <c r="F14" s="4">
        <f>Bilanca!G21</f>
        <v>13</v>
      </c>
      <c r="G14" s="4">
        <f>IF(Bilanca!H21=0,"",Bilanca!H21)</f>
      </c>
      <c r="H14" s="30">
        <f t="shared" si="0"/>
        <v>62135.32</v>
      </c>
      <c r="I14" s="31">
        <f t="shared" si="1"/>
        <v>0</v>
      </c>
      <c r="J14" s="31">
        <f>Bilanca!I21</f>
        <v>189644</v>
      </c>
      <c r="K14" s="31">
        <f>Bilanca!J21</f>
        <v>144160</v>
      </c>
    </row>
    <row r="15" spans="1:11" ht="12.75">
      <c r="A15" s="4" t="s">
        <v>2360</v>
      </c>
      <c r="B15" s="29" t="str">
        <f>TEXT(RefStr!J39,"00")</f>
        <v>05</v>
      </c>
      <c r="D15" s="4" t="s">
        <v>1521</v>
      </c>
      <c r="E15" s="4">
        <v>1</v>
      </c>
      <c r="F15" s="4">
        <f>Bilanca!G22</f>
        <v>14</v>
      </c>
      <c r="G15" s="4">
        <f>IF(Bilanca!H22=0,"",Bilanca!H22)</f>
      </c>
      <c r="H15" s="30">
        <f t="shared" si="0"/>
        <v>54860.12</v>
      </c>
      <c r="I15" s="31">
        <f t="shared" si="1"/>
        <v>0</v>
      </c>
      <c r="J15" s="31">
        <f>Bilanca!I22</f>
        <v>158396</v>
      </c>
      <c r="K15" s="31">
        <f>Bilanca!J22</f>
        <v>116731</v>
      </c>
    </row>
    <row r="16" spans="1:11" ht="12.75">
      <c r="A16" s="4" t="s">
        <v>2359</v>
      </c>
      <c r="B16" s="29" t="str">
        <f>TEXT(RefStr!C39,"000")</f>
        <v>156</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3522</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0</v>
      </c>
      <c r="I18" s="31">
        <f t="shared" si="1"/>
        <v>0</v>
      </c>
      <c r="J18" s="31">
        <f>Bilanca!I25</f>
        <v>0</v>
      </c>
      <c r="K18" s="31">
        <f>Bilanca!J25</f>
        <v>0</v>
      </c>
    </row>
    <row r="19" spans="1:11" ht="12.75">
      <c r="A19" s="4" t="s">
        <v>1196</v>
      </c>
      <c r="B19" s="29" t="str">
        <f>IF(RefStr!I21&lt;&gt;"",RefStr!I21,"")</f>
        <v>DA</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2</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1</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27</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29</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17</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19</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5047197.38</v>
      </c>
      <c r="I38" s="31">
        <f t="shared" si="1"/>
        <v>0</v>
      </c>
      <c r="J38" s="31">
        <f>Bilanca!I45</f>
        <v>4301540</v>
      </c>
      <c r="K38" s="31">
        <f>Bilanca!J45</f>
        <v>4669767</v>
      </c>
    </row>
    <row r="39" spans="1:11" ht="12.75">
      <c r="A39" s="4" t="s">
        <v>1216</v>
      </c>
      <c r="B39" s="29" t="str">
        <f>RefStr!C68</f>
        <v>SLAVA MARTINČEVIĆ</v>
      </c>
      <c r="D39" s="4" t="s">
        <v>1521</v>
      </c>
      <c r="E39" s="4">
        <v>1</v>
      </c>
      <c r="F39" s="4">
        <f>Bilanca!G46</f>
        <v>38</v>
      </c>
      <c r="G39" s="4">
        <f>IF(Bilanca!H46=0,"",Bilanca!H46)</f>
      </c>
      <c r="H39" s="30">
        <f t="shared" si="0"/>
        <v>206597.64</v>
      </c>
      <c r="I39" s="31">
        <f t="shared" si="1"/>
        <v>0</v>
      </c>
      <c r="J39" s="31">
        <f>Bilanca!I46</f>
        <v>178858</v>
      </c>
      <c r="K39" s="31">
        <f>Bilanca!J46</f>
        <v>182410</v>
      </c>
    </row>
    <row r="40" spans="1:11" ht="12.75">
      <c r="A40" s="4" t="s">
        <v>1217</v>
      </c>
      <c r="B40" s="29" t="str">
        <f>TRIM(RefStr!C70)</f>
        <v>042/770-574</v>
      </c>
      <c r="D40" s="4" t="s">
        <v>1521</v>
      </c>
      <c r="E40" s="4">
        <v>1</v>
      </c>
      <c r="F40" s="4">
        <f>Bilanca!G47</f>
        <v>39</v>
      </c>
      <c r="G40" s="4">
        <f>IF(Bilanca!H47=0,"",Bilanca!H47)</f>
      </c>
      <c r="H40" s="30">
        <f t="shared" si="0"/>
        <v>212034.41999999998</v>
      </c>
      <c r="I40" s="31">
        <f t="shared" si="1"/>
        <v>0</v>
      </c>
      <c r="J40" s="31">
        <f>Bilanca!I47</f>
        <v>178858</v>
      </c>
      <c r="K40" s="31">
        <f>Bilanca!J47</f>
        <v>182410</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slavica@ivkom.hr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PUTAR DARKO</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20200101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20201231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2594913.36</v>
      </c>
      <c r="I47" s="31">
        <f t="shared" si="3"/>
        <v>0</v>
      </c>
      <c r="J47" s="31">
        <f>Bilanca!I54</f>
        <v>1386870</v>
      </c>
      <c r="K47" s="31">
        <f>Bilanca!J54</f>
        <v>2127123</v>
      </c>
    </row>
    <row r="48" spans="1:11" ht="12.75">
      <c r="A48" s="4" t="s">
        <v>1918</v>
      </c>
      <c r="B48" s="29" t="str">
        <f>RefStr!I54</f>
        <v>NE</v>
      </c>
      <c r="D48" s="4" t="s">
        <v>1521</v>
      </c>
      <c r="E48" s="4">
        <v>1</v>
      </c>
      <c r="F48" s="4">
        <f>Bilanca!G55</f>
        <v>47</v>
      </c>
      <c r="G48" s="4">
        <f>IF(Bilanca!H55=0,"",Bilanca!H55)</f>
      </c>
      <c r="H48" s="30">
        <f t="shared" si="2"/>
        <v>11702.060000000001</v>
      </c>
      <c r="I48" s="31">
        <f t="shared" si="3"/>
        <v>0</v>
      </c>
      <c r="J48" s="31">
        <f>Bilanca!I55</f>
        <v>16094</v>
      </c>
      <c r="K48" s="31">
        <f>Bilanca!J55</f>
        <v>4402</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2556651.44</v>
      </c>
      <c r="I50" s="31">
        <f t="shared" si="3"/>
        <v>0</v>
      </c>
      <c r="J50" s="31">
        <f>Bilanca!I57</f>
        <v>1132830</v>
      </c>
      <c r="K50" s="31">
        <f>Bilanca!J57</f>
        <v>2042413</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203266.62</v>
      </c>
      <c r="I52" s="31">
        <f t="shared" si="3"/>
        <v>0</v>
      </c>
      <c r="J52" s="31">
        <f>Bilanca!I59</f>
        <v>237946</v>
      </c>
      <c r="K52" s="31">
        <f>Bilanca!J59</f>
        <v>80308</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DA</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NE</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1997750265.5499997</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41748200389</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4697456.399999999</v>
      </c>
      <c r="I64" s="31">
        <f t="shared" si="3"/>
        <v>0</v>
      </c>
      <c r="J64" s="31">
        <f>Bilanca!I71</f>
        <v>2735812</v>
      </c>
      <c r="K64" s="31">
        <f>Bilanca!J71</f>
        <v>2360234</v>
      </c>
    </row>
    <row r="65" spans="1:11" ht="12.75">
      <c r="A65" s="4" t="s">
        <v>687</v>
      </c>
      <c r="B65" s="29" t="str">
        <f>RefStr!N19</f>
        <v>HSFI</v>
      </c>
      <c r="D65" s="4" t="s">
        <v>1521</v>
      </c>
      <c r="E65" s="4">
        <v>1</v>
      </c>
      <c r="F65" s="4">
        <f>Bilanca!G72</f>
        <v>64</v>
      </c>
      <c r="G65" s="4">
        <f>IF(Bilanca!H72=0,"",Bilanca!H72)</f>
      </c>
      <c r="H65" s="30">
        <f t="shared" si="2"/>
        <v>6280.32</v>
      </c>
      <c r="I65" s="31">
        <f t="shared" si="3"/>
        <v>0</v>
      </c>
      <c r="J65" s="31">
        <f>Bilanca!I72</f>
        <v>4637</v>
      </c>
      <c r="K65" s="31">
        <f>Bilanca!J72</f>
        <v>2588</v>
      </c>
    </row>
    <row r="66" spans="1:11" ht="12.75">
      <c r="A66" s="4" t="s">
        <v>688</v>
      </c>
      <c r="B66" s="29">
        <f>RefStr!C23</f>
        <v>1</v>
      </c>
      <c r="D66" s="4" t="s">
        <v>1521</v>
      </c>
      <c r="E66" s="4">
        <v>1</v>
      </c>
      <c r="F66" s="4">
        <f>Bilanca!G73</f>
        <v>65</v>
      </c>
      <c r="G66" s="4">
        <f>IF(Bilanca!H73=0,"",Bilanca!H73)</f>
      </c>
      <c r="H66" s="30">
        <f t="shared" si="2"/>
        <v>30667924.95</v>
      </c>
      <c r="I66" s="31">
        <f t="shared" si="3"/>
        <v>0</v>
      </c>
      <c r="J66" s="31">
        <f>Bilanca!I73</f>
        <v>15655003</v>
      </c>
      <c r="K66" s="31">
        <f>Bilanca!J73</f>
        <v>15763210</v>
      </c>
    </row>
    <row r="67" spans="1:11" ht="12.75">
      <c r="A67" s="4" t="s">
        <v>689</v>
      </c>
      <c r="B67" s="29" t="str">
        <f>RefStr!L35</f>
        <v>042/770-574</v>
      </c>
      <c r="D67" s="4" t="s">
        <v>1521</v>
      </c>
      <c r="E67" s="4">
        <v>1</v>
      </c>
      <c r="F67" s="4">
        <f>Bilanca!G74</f>
        <v>66</v>
      </c>
      <c r="G67" s="4">
        <f>IF(Bilanca!H74=0,"",Bilanca!H74)</f>
      </c>
      <c r="H67" s="30">
        <f t="shared" si="2"/>
        <v>4537764</v>
      </c>
      <c r="I67" s="31">
        <f t="shared" si="3"/>
        <v>0</v>
      </c>
      <c r="J67" s="31">
        <f>Bilanca!I74</f>
        <v>2291800</v>
      </c>
      <c r="K67" s="31">
        <f>Bilanca!J74</f>
        <v>2291800</v>
      </c>
    </row>
    <row r="68" spans="1:11" ht="12.75">
      <c r="A68" s="4" t="s">
        <v>690</v>
      </c>
      <c r="B68" s="29">
        <f>RefStr!C44</f>
        <v>2</v>
      </c>
      <c r="D68" s="4" t="s">
        <v>1521</v>
      </c>
      <c r="E68" s="4">
        <v>1</v>
      </c>
      <c r="F68" s="4">
        <f>Bilanca!G76</f>
        <v>67</v>
      </c>
      <c r="G68" s="4">
        <f>IF(Bilanca!H76=0,"",Bilanca!H76)</f>
      </c>
      <c r="H68" s="30">
        <f t="shared" si="2"/>
        <v>8442879.71</v>
      </c>
      <c r="I68" s="31">
        <f t="shared" si="3"/>
        <v>0</v>
      </c>
      <c r="J68" s="31">
        <f>Bilanca!I76</f>
        <v>3996847</v>
      </c>
      <c r="K68" s="31">
        <f>Bilanca!J76</f>
        <v>4302233</v>
      </c>
    </row>
    <row r="69" spans="1:11" ht="12.75">
      <c r="A69" s="4" t="s">
        <v>691</v>
      </c>
      <c r="B69" s="29" t="str">
        <f>RefStr!M46</f>
        <v>3136906</v>
      </c>
      <c r="D69" s="4" t="s">
        <v>1521</v>
      </c>
      <c r="E69" s="4">
        <v>1</v>
      </c>
      <c r="F69" s="4">
        <f>Bilanca!G77</f>
        <v>68</v>
      </c>
      <c r="G69" s="4">
        <f>IF(Bilanca!H77=0,"",Bilanca!H77)</f>
      </c>
      <c r="H69" s="30">
        <f t="shared" si="2"/>
        <v>4675272</v>
      </c>
      <c r="I69" s="31">
        <f t="shared" si="3"/>
        <v>0</v>
      </c>
      <c r="J69" s="31">
        <f>Bilanca!I77</f>
        <v>2291800</v>
      </c>
      <c r="K69" s="31">
        <f>Bilanca!J77</f>
        <v>2291800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169217.3</v>
      </c>
      <c r="I71" s="31">
        <f t="shared" si="3"/>
        <v>0</v>
      </c>
      <c r="J71" s="31">
        <f>Bilanca!I79</f>
        <v>71091</v>
      </c>
      <c r="K71" s="31">
        <f>Bilanca!J79</f>
        <v>85324</v>
      </c>
    </row>
    <row r="72" spans="4:11" ht="12.75">
      <c r="D72" s="4" t="s">
        <v>1521</v>
      </c>
      <c r="E72" s="4">
        <v>1</v>
      </c>
      <c r="F72" s="4">
        <f>Bilanca!G80</f>
        <v>71</v>
      </c>
      <c r="G72" s="4">
        <f>IF(Bilanca!H80=0,"",Bilanca!H80)</f>
      </c>
      <c r="H72" s="30">
        <f t="shared" si="2"/>
        <v>171472.81</v>
      </c>
      <c r="I72" s="31">
        <f t="shared" si="3"/>
        <v>0</v>
      </c>
      <c r="J72" s="31">
        <f>Bilanca!I80</f>
        <v>71015</v>
      </c>
      <c r="K72" s="31">
        <f>Bilanca!J80</f>
        <v>85248</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171</v>
      </c>
      <c r="I76" s="31">
        <f t="shared" si="3"/>
        <v>0</v>
      </c>
      <c r="J76" s="31">
        <f>Bilanca!I84</f>
        <v>76</v>
      </c>
      <c r="K76" s="31">
        <f>Bilanca!J84</f>
        <v>76</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3716872.11</v>
      </c>
      <c r="I82" s="31">
        <f t="shared" si="3"/>
        <v>0</v>
      </c>
      <c r="J82" s="31">
        <f>Bilanca!I90</f>
        <v>1349285</v>
      </c>
      <c r="K82" s="31">
        <f>Bilanca!J90</f>
        <v>1619723</v>
      </c>
    </row>
    <row r="83" spans="4:11" ht="12.75">
      <c r="D83" s="4" t="s">
        <v>1521</v>
      </c>
      <c r="E83" s="4">
        <v>1</v>
      </c>
      <c r="F83" s="4">
        <f>Bilanca!G91</f>
        <v>82</v>
      </c>
      <c r="G83" s="4">
        <f>IF(Bilanca!H91=0,"",Bilanca!H91)</f>
      </c>
      <c r="H83" s="30">
        <f t="shared" si="2"/>
        <v>3762759.42</v>
      </c>
      <c r="I83" s="31">
        <f t="shared" si="3"/>
        <v>0</v>
      </c>
      <c r="J83" s="31">
        <f>Bilanca!I91</f>
        <v>1349285</v>
      </c>
      <c r="K83" s="31">
        <f>Bilanca!J91</f>
        <v>1619723</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752172.1200000001</v>
      </c>
      <c r="I85" s="31">
        <f>ABS(ROUND(J85,0)-J85)+ABS(ROUND(K85,0)-K85)</f>
        <v>0</v>
      </c>
      <c r="J85" s="31">
        <f>Bilanca!I93</f>
        <v>284671</v>
      </c>
      <c r="K85" s="31">
        <f>Bilanca!J93</f>
        <v>305386</v>
      </c>
    </row>
    <row r="86" spans="4:11" ht="12.75">
      <c r="D86" s="4" t="s">
        <v>1521</v>
      </c>
      <c r="E86" s="4">
        <v>1</v>
      </c>
      <c r="F86" s="4">
        <f>Bilanca!G94</f>
        <v>85</v>
      </c>
      <c r="G86" s="4">
        <f>IF(Bilanca!H94=0,"",Bilanca!H94)</f>
      </c>
      <c r="H86" s="30">
        <f>J86/100*F86+2*K86/100*F86</f>
        <v>761126.55</v>
      </c>
      <c r="I86" s="31">
        <f>ABS(ROUND(J86,0)-J86)+ABS(ROUND(K86,0)-K86)</f>
        <v>0</v>
      </c>
      <c r="J86" s="31">
        <f>Bilanca!I94</f>
        <v>284671</v>
      </c>
      <c r="K86" s="31">
        <f>Bilanca!J94</f>
        <v>305386</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516953.36</v>
      </c>
      <c r="I89" s="31">
        <f t="shared" si="5"/>
        <v>0</v>
      </c>
      <c r="J89" s="31">
        <f>Bilanca!I97</f>
        <v>247557</v>
      </c>
      <c r="K89" s="31">
        <f>Bilanca!J97</f>
        <v>169945</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552200.18</v>
      </c>
      <c r="I95" s="31">
        <f t="shared" si="5"/>
        <v>0</v>
      </c>
      <c r="J95" s="31">
        <f>Bilanca!I103</f>
        <v>247557</v>
      </c>
      <c r="K95" s="31">
        <f>Bilanca!J103</f>
        <v>169945</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7591522.67</v>
      </c>
      <c r="I108" s="31">
        <f t="shared" si="5"/>
        <v>0</v>
      </c>
      <c r="J108" s="31">
        <f>Bilanca!I116</f>
        <v>2300441</v>
      </c>
      <c r="K108" s="31">
        <f>Bilanca!J116</f>
        <v>2397220</v>
      </c>
    </row>
    <row r="109" spans="4:11" ht="12.75">
      <c r="D109" s="4" t="s">
        <v>1521</v>
      </c>
      <c r="E109" s="4">
        <v>1</v>
      </c>
      <c r="F109" s="4">
        <f>Bilanca!G117</f>
        <v>108</v>
      </c>
      <c r="G109" s="4">
        <f>IF(Bilanca!H117=0,"",Bilanca!H117)</f>
      </c>
      <c r="H109" s="30">
        <f t="shared" si="4"/>
        <v>277215.48000000004</v>
      </c>
      <c r="I109" s="31">
        <f t="shared" si="5"/>
        <v>0</v>
      </c>
      <c r="J109" s="31">
        <f>Bilanca!I117</f>
        <v>66357</v>
      </c>
      <c r="K109" s="31">
        <f>Bilanca!J117</f>
        <v>95162</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0</v>
      </c>
      <c r="I115" s="31">
        <f t="shared" si="5"/>
        <v>0</v>
      </c>
      <c r="J115" s="31">
        <f>Bilanca!I123</f>
        <v>0</v>
      </c>
      <c r="K115" s="31">
        <f>Bilanca!J123</f>
        <v>0</v>
      </c>
    </row>
    <row r="116" spans="4:11" ht="12.75">
      <c r="D116" s="4" t="s">
        <v>1521</v>
      </c>
      <c r="E116" s="4">
        <v>1</v>
      </c>
      <c r="F116" s="4">
        <f>Bilanca!G124</f>
        <v>115</v>
      </c>
      <c r="G116" s="4">
        <f>IF(Bilanca!H124=0,"",Bilanca!H124)</f>
      </c>
      <c r="H116" s="30">
        <f t="shared" si="4"/>
        <v>7182972.45</v>
      </c>
      <c r="I116" s="31">
        <f t="shared" si="5"/>
        <v>0</v>
      </c>
      <c r="J116" s="31">
        <f>Bilanca!I124</f>
        <v>2043515</v>
      </c>
      <c r="K116" s="31">
        <f>Bilanca!J124</f>
        <v>2101274</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434084.04</v>
      </c>
      <c r="I118" s="31">
        <f t="shared" si="5"/>
        <v>0</v>
      </c>
      <c r="J118" s="31">
        <f>Bilanca!I126</f>
        <v>121614</v>
      </c>
      <c r="K118" s="31">
        <f>Bilanca!J126</f>
        <v>124699</v>
      </c>
    </row>
    <row r="119" spans="4:11" ht="12.75">
      <c r="D119" s="4" t="s">
        <v>1521</v>
      </c>
      <c r="E119" s="4">
        <v>1</v>
      </c>
      <c r="F119" s="4">
        <f>Bilanca!G127</f>
        <v>118</v>
      </c>
      <c r="G119" s="4">
        <f>IF(Bilanca!H127=0,"",Bilanca!H127)</f>
      </c>
      <c r="H119" s="30">
        <f t="shared" si="4"/>
        <v>260927.5</v>
      </c>
      <c r="I119" s="31">
        <f t="shared" si="5"/>
        <v>0</v>
      </c>
      <c r="J119" s="31">
        <f>Bilanca!I127</f>
        <v>68955</v>
      </c>
      <c r="K119" s="31">
        <f>Bilanca!J127</f>
        <v>76085</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0</v>
      </c>
      <c r="I122" s="31">
        <f t="shared" si="5"/>
        <v>0</v>
      </c>
      <c r="J122" s="31">
        <f>Bilanca!I130</f>
        <v>0</v>
      </c>
      <c r="K122" s="31">
        <f>Bilanca!J130</f>
        <v>0</v>
      </c>
    </row>
    <row r="123" spans="4:11" ht="12.75">
      <c r="D123" s="4" t="s">
        <v>1521</v>
      </c>
      <c r="E123" s="4">
        <v>1</v>
      </c>
      <c r="F123" s="4">
        <f>Bilanca!G131</f>
        <v>122</v>
      </c>
      <c r="G123" s="4">
        <f>IF(Bilanca!H131=0,"",Bilanca!H131)</f>
      </c>
      <c r="H123" s="30">
        <f t="shared" si="4"/>
        <v>32815294.04</v>
      </c>
      <c r="I123" s="31">
        <f t="shared" si="5"/>
        <v>0</v>
      </c>
      <c r="J123" s="31">
        <f>Bilanca!I131</f>
        <v>9110158</v>
      </c>
      <c r="K123" s="31">
        <f>Bilanca!J131</f>
        <v>8893812</v>
      </c>
    </row>
    <row r="124" spans="4:11" ht="12.75">
      <c r="D124" s="4" t="s">
        <v>1521</v>
      </c>
      <c r="E124" s="4">
        <v>1</v>
      </c>
      <c r="F124" s="4">
        <f>Bilanca!G132</f>
        <v>123</v>
      </c>
      <c r="G124" s="4">
        <f>IF(Bilanca!H132=0,"",Bilanca!H132)</f>
      </c>
      <c r="H124" s="30">
        <f t="shared" si="4"/>
        <v>58033150.29000001</v>
      </c>
      <c r="I124" s="31">
        <f t="shared" si="5"/>
        <v>0</v>
      </c>
      <c r="J124" s="31">
        <f>Bilanca!I132</f>
        <v>15655003</v>
      </c>
      <c r="K124" s="31">
        <f>Bilanca!J132</f>
        <v>15763210</v>
      </c>
    </row>
    <row r="125" spans="4:11" ht="12.75">
      <c r="D125" s="4" t="s">
        <v>1521</v>
      </c>
      <c r="E125" s="4">
        <v>1</v>
      </c>
      <c r="F125" s="4">
        <f>Bilanca!G133</f>
        <v>124</v>
      </c>
      <c r="G125" s="4">
        <f>IF(Bilanca!H133=0,"",Bilanca!H133)</f>
      </c>
      <c r="H125" s="30">
        <f t="shared" si="4"/>
        <v>8525496</v>
      </c>
      <c r="I125" s="31">
        <f t="shared" si="5"/>
        <v>0</v>
      </c>
      <c r="J125" s="31">
        <f>Bilanca!I133</f>
        <v>2291800</v>
      </c>
      <c r="K125" s="31">
        <f>Bilanca!J133</f>
        <v>2291800</v>
      </c>
    </row>
    <row r="126" spans="4:11" ht="12.75">
      <c r="D126" s="4" t="s">
        <v>541</v>
      </c>
      <c r="E126" s="4">
        <v>2</v>
      </c>
      <c r="F126" s="4">
        <f>RDG!G8</f>
        <v>125</v>
      </c>
      <c r="G126" s="4">
        <f>IF(RDG!H8=0,"",RDG!H8)</f>
      </c>
      <c r="H126" s="30">
        <f t="shared" si="4"/>
        <v>53285852.5</v>
      </c>
      <c r="I126" s="4">
        <f t="shared" si="5"/>
        <v>0</v>
      </c>
      <c r="J126" s="31">
        <f>RDG!I8</f>
        <v>14133360</v>
      </c>
      <c r="K126" s="31">
        <f>RDG!J8</f>
        <v>14247661</v>
      </c>
    </row>
    <row r="127" spans="4:11" ht="12.75">
      <c r="D127" s="4" t="s">
        <v>541</v>
      </c>
      <c r="E127" s="4">
        <v>2</v>
      </c>
      <c r="F127" s="4">
        <f>RDG!G9</f>
        <v>126</v>
      </c>
      <c r="G127" s="4">
        <f>IF(RDG!H9=0,"",RDG!H9)</f>
      </c>
      <c r="H127" s="30">
        <f t="shared" si="4"/>
        <v>33817.14</v>
      </c>
      <c r="I127" s="4">
        <f t="shared" si="5"/>
        <v>0</v>
      </c>
      <c r="J127" s="31">
        <f>RDG!I9</f>
        <v>4939</v>
      </c>
      <c r="K127" s="31">
        <f>RDG!J9</f>
        <v>10950</v>
      </c>
    </row>
    <row r="128" spans="4:11" ht="12.75">
      <c r="D128" s="4" t="s">
        <v>541</v>
      </c>
      <c r="E128" s="4">
        <v>2</v>
      </c>
      <c r="F128" s="4">
        <f>RDG!G10</f>
        <v>127</v>
      </c>
      <c r="G128" s="4">
        <f>IF(RDG!H10=0,"",RDG!H10)</f>
      </c>
      <c r="H128" s="30">
        <f aca="true" t="shared" si="6" ref="H128:H190">J128/100*F128+2*K128/100*F128</f>
        <v>50415973.59</v>
      </c>
      <c r="I128" s="4">
        <f aca="true" t="shared" si="7" ref="I128:I190">ABS(ROUND(J128,0)-J128)+ABS(ROUND(K128,0)-K128)</f>
        <v>0</v>
      </c>
      <c r="J128" s="31">
        <f>RDG!I10</f>
        <v>13010437</v>
      </c>
      <c r="K128" s="31">
        <f>RDG!J10</f>
        <v>13343590</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3775493.8</v>
      </c>
      <c r="I131" s="4">
        <f t="shared" si="7"/>
        <v>0</v>
      </c>
      <c r="J131" s="31">
        <f>RDG!I13</f>
        <v>1117984</v>
      </c>
      <c r="K131" s="31">
        <f>RDG!J13</f>
        <v>893121</v>
      </c>
    </row>
    <row r="132" spans="4:11" ht="12.75">
      <c r="D132" s="4" t="s">
        <v>541</v>
      </c>
      <c r="E132" s="4">
        <v>2</v>
      </c>
      <c r="F132" s="4">
        <f>RDG!G14</f>
        <v>131</v>
      </c>
      <c r="G132" s="4">
        <f>IF(RDG!H14=0,"",RDG!H14)</f>
      </c>
      <c r="H132" s="30">
        <f t="shared" si="6"/>
        <v>54841178.45</v>
      </c>
      <c r="I132" s="4">
        <f t="shared" si="7"/>
        <v>0</v>
      </c>
      <c r="J132" s="31">
        <f>RDG!I14</f>
        <v>13845713</v>
      </c>
      <c r="K132" s="31">
        <f>RDG!J14</f>
        <v>14008891</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42060055.66</v>
      </c>
      <c r="I134" s="4">
        <f t="shared" si="7"/>
        <v>0</v>
      </c>
      <c r="J134" s="31">
        <f>RDG!I16</f>
        <v>10520514</v>
      </c>
      <c r="K134" s="31">
        <f>RDG!J16</f>
        <v>10551794</v>
      </c>
    </row>
    <row r="135" spans="4:11" ht="12.75">
      <c r="D135" s="4" t="s">
        <v>541</v>
      </c>
      <c r="E135" s="4">
        <v>2</v>
      </c>
      <c r="F135" s="4">
        <f>RDG!G17</f>
        <v>134</v>
      </c>
      <c r="G135" s="4">
        <f>IF(RDG!H17=0,"",RDG!H17)</f>
      </c>
      <c r="H135" s="30">
        <f t="shared" si="6"/>
        <v>40294220.760000005</v>
      </c>
      <c r="I135" s="4">
        <f t="shared" si="7"/>
        <v>0</v>
      </c>
      <c r="J135" s="31">
        <f>RDG!I17</f>
        <v>9952148</v>
      </c>
      <c r="K135" s="31">
        <f>RDG!J17</f>
        <v>10059083</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2113151.6799999997</v>
      </c>
      <c r="I137" s="4">
        <f t="shared" si="7"/>
        <v>0</v>
      </c>
      <c r="J137" s="31">
        <f>RDG!I19</f>
        <v>568366</v>
      </c>
      <c r="K137" s="31">
        <f>RDG!J19</f>
        <v>492711</v>
      </c>
    </row>
    <row r="138" spans="4:11" ht="12.75">
      <c r="D138" s="4" t="s">
        <v>541</v>
      </c>
      <c r="E138" s="4">
        <v>2</v>
      </c>
      <c r="F138" s="4">
        <f>RDG!G20</f>
        <v>137</v>
      </c>
      <c r="G138" s="4">
        <f>IF(RDG!H20=0,"",RDG!H20)</f>
      </c>
      <c r="H138" s="30">
        <f t="shared" si="6"/>
        <v>8288443.829999999</v>
      </c>
      <c r="I138" s="4">
        <f t="shared" si="7"/>
        <v>0</v>
      </c>
      <c r="J138" s="31">
        <f>RDG!I20</f>
        <v>1965457</v>
      </c>
      <c r="K138" s="31">
        <f>RDG!J20</f>
        <v>2042251</v>
      </c>
    </row>
    <row r="139" spans="4:11" ht="12.75">
      <c r="D139" s="4" t="s">
        <v>541</v>
      </c>
      <c r="E139" s="4">
        <v>2</v>
      </c>
      <c r="F139" s="4">
        <f>RDG!G21</f>
        <v>138</v>
      </c>
      <c r="G139" s="4">
        <f>IF(RDG!H21=0,"",RDG!H21)</f>
      </c>
      <c r="H139" s="30">
        <f t="shared" si="6"/>
        <v>5183816.82</v>
      </c>
      <c r="I139" s="4">
        <f t="shared" si="7"/>
        <v>0</v>
      </c>
      <c r="J139" s="31">
        <f>RDG!I21</f>
        <v>1219417</v>
      </c>
      <c r="K139" s="31">
        <f>RDG!J21</f>
        <v>1268486</v>
      </c>
    </row>
    <row r="140" spans="4:11" ht="12.75">
      <c r="D140" s="4" t="s">
        <v>541</v>
      </c>
      <c r="E140" s="4">
        <v>2</v>
      </c>
      <c r="F140" s="4">
        <f>RDG!G22</f>
        <v>139</v>
      </c>
      <c r="G140" s="4">
        <f>IF(RDG!H22=0,"",RDG!H22)</f>
      </c>
      <c r="H140" s="30">
        <f t="shared" si="6"/>
        <v>2007165.56</v>
      </c>
      <c r="I140" s="4">
        <f t="shared" si="7"/>
        <v>0</v>
      </c>
      <c r="J140" s="31">
        <f>RDG!I22</f>
        <v>473114</v>
      </c>
      <c r="K140" s="31">
        <f>RDG!J22</f>
        <v>485445</v>
      </c>
    </row>
    <row r="141" spans="4:11" ht="12.75">
      <c r="D141" s="4" t="s">
        <v>541</v>
      </c>
      <c r="E141" s="4">
        <v>2</v>
      </c>
      <c r="F141" s="4">
        <f>RDG!G23</f>
        <v>140</v>
      </c>
      <c r="G141" s="4">
        <f>IF(RDG!H23=0,"",RDG!H23)</f>
      </c>
      <c r="H141" s="30">
        <f t="shared" si="6"/>
        <v>1189392.4</v>
      </c>
      <c r="I141" s="4">
        <f t="shared" si="7"/>
        <v>0</v>
      </c>
      <c r="J141" s="31">
        <f>RDG!I23</f>
        <v>272926</v>
      </c>
      <c r="K141" s="31">
        <f>RDG!J23</f>
        <v>288320</v>
      </c>
    </row>
    <row r="142" spans="4:11" ht="12.75">
      <c r="D142" s="4" t="s">
        <v>541</v>
      </c>
      <c r="E142" s="4">
        <v>2</v>
      </c>
      <c r="F142" s="4">
        <f>RDG!G24</f>
        <v>141</v>
      </c>
      <c r="G142" s="4">
        <f>IF(RDG!H24=0,"",RDG!H24)</f>
      </c>
      <c r="H142" s="30">
        <f t="shared" si="6"/>
        <v>2660782.8</v>
      </c>
      <c r="I142" s="4">
        <f t="shared" si="7"/>
        <v>0</v>
      </c>
      <c r="J142" s="31">
        <f>RDG!I24</f>
        <v>637702</v>
      </c>
      <c r="K142" s="31">
        <f>RDG!J24</f>
        <v>624689</v>
      </c>
    </row>
    <row r="143" spans="4:11" ht="12.75">
      <c r="D143" s="4" t="s">
        <v>541</v>
      </c>
      <c r="E143" s="4">
        <v>2</v>
      </c>
      <c r="F143" s="4">
        <f>RDG!G25</f>
        <v>142</v>
      </c>
      <c r="G143" s="4">
        <f>IF(RDG!H25=0,"",RDG!H25)</f>
      </c>
      <c r="H143" s="30">
        <f t="shared" si="6"/>
        <v>2112727.12</v>
      </c>
      <c r="I143" s="4">
        <f t="shared" si="7"/>
        <v>0</v>
      </c>
      <c r="J143" s="31">
        <f>RDG!I25</f>
        <v>503904</v>
      </c>
      <c r="K143" s="31">
        <f>RDG!J25</f>
        <v>491966</v>
      </c>
    </row>
    <row r="144" spans="4:11" ht="12.75">
      <c r="D144" s="4" t="s">
        <v>541</v>
      </c>
      <c r="E144" s="4">
        <v>2</v>
      </c>
      <c r="F144" s="4">
        <f>RDG!G26</f>
        <v>143</v>
      </c>
      <c r="G144" s="4">
        <f>IF(RDG!H26=0,"",RDG!H26)</f>
      </c>
      <c r="H144" s="30">
        <f t="shared" si="6"/>
        <v>1141986.56</v>
      </c>
      <c r="I144" s="4">
        <f t="shared" si="7"/>
        <v>0</v>
      </c>
      <c r="J144" s="31">
        <f>RDG!I26</f>
        <v>207780</v>
      </c>
      <c r="K144" s="31">
        <f>RDG!J26</f>
        <v>295406</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1157958.4</v>
      </c>
      <c r="I146" s="4">
        <f t="shared" si="7"/>
        <v>0</v>
      </c>
      <c r="J146" s="31">
        <f>RDG!I28</f>
        <v>207780</v>
      </c>
      <c r="K146" s="31">
        <f>RDG!J28</f>
        <v>295406</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24366.78</v>
      </c>
      <c r="I154" s="4">
        <f t="shared" si="7"/>
        <v>0</v>
      </c>
      <c r="J154" s="31">
        <f>RDG!I36</f>
        <v>10356</v>
      </c>
      <c r="K154" s="31">
        <f>RDG!J36</f>
        <v>2785</v>
      </c>
    </row>
    <row r="155" spans="4:11" ht="12.75">
      <c r="D155" s="4" t="s">
        <v>541</v>
      </c>
      <c r="E155" s="4">
        <v>2</v>
      </c>
      <c r="F155" s="4">
        <f>RDG!G37</f>
        <v>154</v>
      </c>
      <c r="G155" s="4">
        <f>IF(RDG!H37=0,"",RDG!H37)</f>
      </c>
      <c r="H155" s="30">
        <f t="shared" si="6"/>
        <v>460918.92</v>
      </c>
      <c r="I155" s="4">
        <f t="shared" si="7"/>
        <v>0</v>
      </c>
      <c r="J155" s="31">
        <f>RDG!I37</f>
        <v>55490</v>
      </c>
      <c r="K155" s="31">
        <f>RDG!J37</f>
        <v>121904</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28.619999999999997</v>
      </c>
      <c r="I160" s="4">
        <f t="shared" si="7"/>
        <v>0</v>
      </c>
      <c r="J160" s="31">
        <f>RDG!I42</f>
        <v>0</v>
      </c>
      <c r="K160" s="31">
        <f>RDG!J42</f>
        <v>9</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481840.80000000005</v>
      </c>
      <c r="I162" s="4">
        <f t="shared" si="7"/>
        <v>0</v>
      </c>
      <c r="J162" s="31">
        <f>RDG!I44</f>
        <v>55490</v>
      </c>
      <c r="K162" s="31">
        <f>RDG!J44</f>
        <v>121895</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0</v>
      </c>
      <c r="I165" s="4">
        <f t="shared" si="7"/>
        <v>0</v>
      </c>
      <c r="J165" s="31">
        <f>RDG!I47</f>
        <v>0</v>
      </c>
      <c r="K165" s="31">
        <f>RDG!J47</f>
        <v>0</v>
      </c>
    </row>
    <row r="166" spans="4:11" ht="12.75">
      <c r="D166" s="4" t="s">
        <v>541</v>
      </c>
      <c r="E166" s="4">
        <v>2</v>
      </c>
      <c r="F166" s="4">
        <f>RDG!G48</f>
        <v>165</v>
      </c>
      <c r="G166" s="4">
        <f>IF(RDG!H48=0,"",RDG!H48)</f>
      </c>
      <c r="H166" s="30">
        <f t="shared" si="6"/>
        <v>89.1</v>
      </c>
      <c r="I166" s="4">
        <f t="shared" si="7"/>
        <v>0</v>
      </c>
      <c r="J166" s="31">
        <f>RDG!I48</f>
        <v>34</v>
      </c>
      <c r="K166" s="31">
        <f>RDG!J48</f>
        <v>10</v>
      </c>
    </row>
    <row r="167" spans="4:11" ht="12.75">
      <c r="D167" s="4" t="s">
        <v>541</v>
      </c>
      <c r="E167" s="4">
        <v>2</v>
      </c>
      <c r="F167" s="4">
        <f>RDG!G49</f>
        <v>166</v>
      </c>
      <c r="G167" s="4">
        <f>IF(RDG!H49=0,"",RDG!H49)</f>
      </c>
      <c r="H167" s="30">
        <f t="shared" si="6"/>
        <v>78.02000000000001</v>
      </c>
      <c r="I167" s="4">
        <f t="shared" si="7"/>
        <v>0</v>
      </c>
      <c r="J167" s="31">
        <f>RDG!I49</f>
        <v>27</v>
      </c>
      <c r="K167" s="31">
        <f>RDG!J49</f>
        <v>10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0</v>
      </c>
      <c r="I169" s="4">
        <f t="shared" si="7"/>
        <v>0</v>
      </c>
      <c r="J169" s="31">
        <f>RDG!I51</f>
        <v>0</v>
      </c>
      <c r="K169" s="31">
        <f>RDG!J51</f>
        <v>0</v>
      </c>
    </row>
    <row r="170" spans="4:11" ht="12.75">
      <c r="D170" s="4" t="s">
        <v>541</v>
      </c>
      <c r="E170" s="4">
        <v>2</v>
      </c>
      <c r="F170" s="4">
        <f>RDG!G52</f>
        <v>169</v>
      </c>
      <c r="G170" s="4">
        <f>IF(RDG!H52=0,"",RDG!H52)</f>
      </c>
      <c r="H170" s="30">
        <f t="shared" si="6"/>
        <v>11.830000000000002</v>
      </c>
      <c r="I170" s="4">
        <f t="shared" si="7"/>
        <v>0</v>
      </c>
      <c r="J170" s="31">
        <f>RDG!I52</f>
        <v>7</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0</v>
      </c>
      <c r="I173" s="4">
        <f t="shared" si="7"/>
        <v>0</v>
      </c>
      <c r="J173" s="31">
        <f>RDG!I55</f>
        <v>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75982524.6</v>
      </c>
      <c r="I178" s="4">
        <f t="shared" si="7"/>
        <v>0</v>
      </c>
      <c r="J178" s="31">
        <f>RDG!I60</f>
        <v>14188850</v>
      </c>
      <c r="K178" s="31">
        <f>RDG!J60</f>
        <v>14369565</v>
      </c>
    </row>
    <row r="179" spans="4:11" ht="12.75">
      <c r="D179" s="4" t="s">
        <v>541</v>
      </c>
      <c r="E179" s="4">
        <v>2</v>
      </c>
      <c r="F179" s="4">
        <f>RDG!G61</f>
        <v>178</v>
      </c>
      <c r="G179" s="4">
        <f>IF(RDG!H61=0,"",RDG!H61)</f>
      </c>
      <c r="H179" s="30">
        <f t="shared" si="6"/>
        <v>74517117.22</v>
      </c>
      <c r="I179" s="4">
        <f t="shared" si="7"/>
        <v>0</v>
      </c>
      <c r="J179" s="31">
        <f>RDG!I61</f>
        <v>13845747</v>
      </c>
      <c r="K179" s="31">
        <f>RDG!J61</f>
        <v>14008901</v>
      </c>
    </row>
    <row r="180" spans="4:11" ht="12.75">
      <c r="D180" s="4" t="s">
        <v>541</v>
      </c>
      <c r="E180" s="4">
        <v>2</v>
      </c>
      <c r="F180" s="4">
        <f>RDG!G62</f>
        <v>179</v>
      </c>
      <c r="G180" s="4">
        <f>IF(RDG!H62=0,"",RDG!H62)</f>
      </c>
      <c r="H180" s="30">
        <f t="shared" si="6"/>
        <v>1905331.4899999998</v>
      </c>
      <c r="I180" s="4">
        <f t="shared" si="7"/>
        <v>0</v>
      </c>
      <c r="J180" s="31">
        <f>RDG!I62</f>
        <v>343103</v>
      </c>
      <c r="K180" s="31">
        <f>RDG!J62</f>
        <v>360664</v>
      </c>
    </row>
    <row r="181" spans="4:11" ht="12.75">
      <c r="D181" s="4" t="s">
        <v>541</v>
      </c>
      <c r="E181" s="4">
        <v>2</v>
      </c>
      <c r="F181" s="4">
        <f>RDG!G63</f>
        <v>180</v>
      </c>
      <c r="G181" s="4">
        <f>IF(RDG!H63=0,"",RDG!H63)</f>
      </c>
      <c r="H181" s="30">
        <f t="shared" si="6"/>
        <v>1915975.7999999998</v>
      </c>
      <c r="I181" s="4">
        <f t="shared" si="7"/>
        <v>0</v>
      </c>
      <c r="J181" s="31">
        <f>RDG!I63</f>
        <v>343103</v>
      </c>
      <c r="K181" s="31">
        <f>RDG!J63</f>
        <v>360664</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307558.16</v>
      </c>
      <c r="I183" s="4">
        <f t="shared" si="7"/>
        <v>0</v>
      </c>
      <c r="J183" s="31">
        <f>RDG!I65</f>
        <v>58432</v>
      </c>
      <c r="K183" s="31">
        <f>RDG!J65</f>
        <v>55278</v>
      </c>
    </row>
    <row r="184" spans="4:11" ht="12.75">
      <c r="D184" s="4" t="s">
        <v>541</v>
      </c>
      <c r="E184" s="4">
        <v>2</v>
      </c>
      <c r="F184" s="4">
        <f>RDG!G66</f>
        <v>183</v>
      </c>
      <c r="G184" s="4">
        <f>IF(RDG!H66=0,"",RDG!H66)</f>
      </c>
      <c r="H184" s="30">
        <f t="shared" si="6"/>
        <v>1638660.69</v>
      </c>
      <c r="I184" s="4">
        <f t="shared" si="7"/>
        <v>0</v>
      </c>
      <c r="J184" s="31">
        <f>RDG!I66</f>
        <v>284671</v>
      </c>
      <c r="K184" s="31">
        <f>RDG!J66</f>
        <v>305386</v>
      </c>
    </row>
    <row r="185" spans="4:11" ht="12.75">
      <c r="D185" s="4" t="s">
        <v>541</v>
      </c>
      <c r="E185" s="4">
        <v>2</v>
      </c>
      <c r="F185" s="4">
        <f>RDG!G67</f>
        <v>184</v>
      </c>
      <c r="G185" s="4">
        <f>IF(RDG!H67=0,"",RDG!H67)</f>
      </c>
      <c r="H185" s="30">
        <f t="shared" si="6"/>
        <v>1647615.12</v>
      </c>
      <c r="I185" s="4">
        <f t="shared" si="7"/>
        <v>0</v>
      </c>
      <c r="J185" s="31">
        <f>RDG!I67</f>
        <v>284671</v>
      </c>
      <c r="K185" s="31">
        <f>RDG!J67</f>
        <v>305386</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0</v>
      </c>
      <c r="I232" s="4">
        <f t="shared" si="11"/>
        <v>0</v>
      </c>
      <c r="J232" s="31">
        <f>Dodatni!I25</f>
        <v>0</v>
      </c>
      <c r="K232" s="31">
        <f>Dodatni!J25</f>
        <v>0</v>
      </c>
    </row>
    <row r="233" spans="4:11" ht="12.75">
      <c r="D233" s="4" t="s">
        <v>1522</v>
      </c>
      <c r="E233" s="4">
        <v>3</v>
      </c>
      <c r="F233" s="4">
        <f>Dodatni!H26</f>
        <v>232</v>
      </c>
      <c r="H233" s="30">
        <f t="shared" si="10"/>
        <v>0</v>
      </c>
      <c r="I233" s="4">
        <f t="shared" si="11"/>
        <v>0</v>
      </c>
      <c r="J233" s="31">
        <f>Dodatni!I26</f>
        <v>0</v>
      </c>
      <c r="K233" s="31">
        <f>Dodatni!J26</f>
        <v>0</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0</v>
      </c>
      <c r="I235" s="4">
        <f t="shared" si="11"/>
        <v>0</v>
      </c>
      <c r="J235" s="31">
        <f>Dodatni!I28</f>
        <v>0</v>
      </c>
      <c r="K235" s="31">
        <f>Dodatni!J28</f>
        <v>0</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0</v>
      </c>
      <c r="I237" s="4">
        <f t="shared" si="11"/>
        <v>0</v>
      </c>
      <c r="J237" s="31">
        <f>Dodatni!I30</f>
        <v>0</v>
      </c>
      <c r="K237" s="31">
        <f>Dodatni!J30</f>
        <v>0</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0</v>
      </c>
      <c r="I243" s="4">
        <f t="shared" si="11"/>
        <v>0</v>
      </c>
      <c r="J243" s="31">
        <f>Dodatni!I37</f>
        <v>0</v>
      </c>
      <c r="K243" s="31">
        <f>Dodatni!J37</f>
        <v>0</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0</v>
      </c>
      <c r="I253" s="4">
        <f t="shared" si="11"/>
        <v>0</v>
      </c>
      <c r="J253" s="31">
        <f>Dodatni!I50</f>
        <v>0</v>
      </c>
      <c r="K253" s="31">
        <f>Dodatni!J50</f>
        <v>0</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0</v>
      </c>
      <c r="I256" s="4">
        <f t="shared" si="11"/>
        <v>0</v>
      </c>
      <c r="J256" s="31">
        <f>Dodatni!I53</f>
        <v>0</v>
      </c>
      <c r="K256" s="31">
        <f>Dodatni!J53</f>
        <v>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0</v>
      </c>
      <c r="I260" s="4">
        <f t="shared" si="11"/>
        <v>0</v>
      </c>
      <c r="J260" s="31">
        <f>Dodatni!I57</f>
        <v>0</v>
      </c>
      <c r="K260" s="31">
        <f>Dodatni!J57</f>
        <v>0</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0</v>
      </c>
      <c r="I263" s="4">
        <f t="shared" si="11"/>
        <v>0</v>
      </c>
      <c r="J263" s="31">
        <f>Dodatni!I60</f>
        <v>0</v>
      </c>
      <c r="K263" s="31">
        <f>Dodatni!J60</f>
        <v>0</v>
      </c>
    </row>
    <row r="264" spans="4:11" ht="12.75">
      <c r="D264" s="4" t="s">
        <v>1522</v>
      </c>
      <c r="E264" s="4">
        <v>3</v>
      </c>
      <c r="F264" s="4">
        <f>Dodatni!H61</f>
        <v>263</v>
      </c>
      <c r="H264" s="30">
        <f t="shared" si="10"/>
        <v>0</v>
      </c>
      <c r="I264" s="4">
        <f t="shared" si="11"/>
        <v>0</v>
      </c>
      <c r="J264" s="31">
        <f>Dodatni!I61</f>
        <v>0</v>
      </c>
      <c r="K264" s="31">
        <f>Dodatni!J61</f>
        <v>0</v>
      </c>
    </row>
    <row r="265" spans="4:11" ht="12.75">
      <c r="D265" s="4" t="s">
        <v>1522</v>
      </c>
      <c r="E265" s="4">
        <v>3</v>
      </c>
      <c r="F265" s="4">
        <f>Dodatni!H62</f>
        <v>264</v>
      </c>
      <c r="H265" s="30">
        <f t="shared" si="10"/>
        <v>0</v>
      </c>
      <c r="I265" s="4">
        <f t="shared" si="11"/>
        <v>0</v>
      </c>
      <c r="J265" s="31">
        <f>Dodatni!I62</f>
        <v>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0</v>
      </c>
      <c r="I268" s="4">
        <f t="shared" si="11"/>
        <v>0</v>
      </c>
      <c r="J268" s="31">
        <f>Dodatni!I65</f>
        <v>0</v>
      </c>
      <c r="K268" s="31">
        <f>Dodatni!J65</f>
        <v>0</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0</v>
      </c>
      <c r="I278" s="4">
        <f t="shared" si="13"/>
        <v>0</v>
      </c>
      <c r="J278" s="31">
        <f>Dodatni!I76</f>
        <v>0</v>
      </c>
      <c r="K278" s="31">
        <f>Dodatni!J76</f>
        <v>0</v>
      </c>
    </row>
    <row r="279" spans="4:11" ht="12.75">
      <c r="D279" s="4" t="s">
        <v>1522</v>
      </c>
      <c r="E279" s="4">
        <v>3</v>
      </c>
      <c r="F279" s="4">
        <f>Dodatni!H78</f>
        <v>278</v>
      </c>
      <c r="H279" s="30">
        <f t="shared" si="12"/>
        <v>0</v>
      </c>
      <c r="I279" s="4">
        <f t="shared" si="13"/>
        <v>0</v>
      </c>
      <c r="J279" s="31">
        <f>Dodatni!I78</f>
        <v>0</v>
      </c>
      <c r="K279" s="31">
        <f>Dodatni!J78</f>
        <v>0</v>
      </c>
    </row>
    <row r="280" spans="4:11" ht="12.75">
      <c r="D280" s="4" t="s">
        <v>1522</v>
      </c>
      <c r="E280" s="4">
        <v>3</v>
      </c>
      <c r="F280" s="4">
        <f>Dodatni!H79</f>
        <v>279</v>
      </c>
      <c r="H280" s="30">
        <f t="shared" si="12"/>
        <v>0</v>
      </c>
      <c r="I280" s="4">
        <f t="shared" si="13"/>
        <v>0</v>
      </c>
      <c r="J280" s="31">
        <f>Dodatni!I79</f>
        <v>0</v>
      </c>
      <c r="K280" s="31">
        <f>Dodatni!J79</f>
        <v>0</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0</v>
      </c>
      <c r="I288" s="4">
        <f t="shared" si="15"/>
        <v>0</v>
      </c>
      <c r="J288" s="31">
        <f>Dodatni!I88</f>
        <v>0</v>
      </c>
      <c r="K288" s="31">
        <f>Dodatni!J88</f>
        <v>0</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114" activePane="bottomLeft" state="frozen"/>
      <selection pane="topLeft" activeCell="A2" sqref="A2"/>
      <selection pane="bottomLeft" activeCell="D2" sqref="D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DA</v>
      </c>
      <c r="V2" s="209" t="s">
        <v>2354</v>
      </c>
      <c r="W2" s="231" t="str">
        <f>RefStr!C29</f>
        <v>IVKOM-PLIN d.o.o.</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2</v>
      </c>
      <c r="T3" s="211" t="s">
        <v>777</v>
      </c>
      <c r="U3" s="232" t="str">
        <f>RefStr!L21</f>
        <v>41748200389</v>
      </c>
      <c r="V3" s="211" t="s">
        <v>2355</v>
      </c>
      <c r="W3" s="232">
        <f>RefStr!C31</f>
        <v>42240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1</v>
      </c>
      <c r="L4" s="3"/>
      <c r="M4" s="3"/>
      <c r="N4" s="208" t="s">
        <v>1522</v>
      </c>
      <c r="O4" s="211">
        <f>Dodatni!Q1</f>
        <v>0</v>
      </c>
      <c r="P4" s="212">
        <f>Dodatni!Q2</f>
        <v>0</v>
      </c>
      <c r="Q4" s="232">
        <f>Dodatni!Q3</f>
        <v>0</v>
      </c>
      <c r="R4" s="211" t="s">
        <v>1199</v>
      </c>
      <c r="S4" s="232">
        <f>IF(RefStr!C52&lt;&gt;"",IF(ISERROR(INT(RefStr!C52)),0,RefStr!C52),0)</f>
        <v>11</v>
      </c>
      <c r="T4" s="211" t="s">
        <v>2718</v>
      </c>
      <c r="U4" s="232" t="str">
        <f>RefStr!C27</f>
        <v>95193122518</v>
      </c>
      <c r="V4" s="211" t="s">
        <v>2356</v>
      </c>
      <c r="W4" s="232" t="str">
        <f>RefStr!F31</f>
        <v>IVANEC</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2</v>
      </c>
      <c r="T5" s="211" t="s">
        <v>2352</v>
      </c>
      <c r="U5" s="232" t="str">
        <f>RefStr!H27</f>
        <v>02332264</v>
      </c>
      <c r="V5" s="211" t="s">
        <v>2357</v>
      </c>
      <c r="W5" s="232" t="str">
        <f>RefStr!C33</f>
        <v>V.NAZORA 96 b</v>
      </c>
      <c r="X5" s="234" t="s">
        <v>2517</v>
      </c>
      <c r="Y5" s="235" t="str">
        <f>RefStr!I62</f>
        <v>DA</v>
      </c>
      <c r="Z5" s="211" t="s">
        <v>691</v>
      </c>
      <c r="AA5" s="232" t="str">
        <f>RefStr!M46</f>
        <v>3136906</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070081981</v>
      </c>
      <c r="V6" s="211" t="s">
        <v>2568</v>
      </c>
      <c r="W6" s="232" t="str">
        <f>RefStr!L35</f>
        <v>042/770-574</v>
      </c>
      <c r="X6" s="211" t="s">
        <v>2514</v>
      </c>
      <c r="Y6" s="232" t="str">
        <f>RefStr!C68</f>
        <v>SLAVA MARTINČEVIĆ</v>
      </c>
      <c r="Z6" s="211" t="s">
        <v>1415</v>
      </c>
      <c r="AA6" s="232">
        <f>RefStr!C46</f>
        <v>0</v>
      </c>
    </row>
    <row r="7" spans="1:27" ht="13.5" customHeight="1">
      <c r="A7" s="496"/>
      <c r="B7" s="497"/>
      <c r="C7" s="497"/>
      <c r="D7" s="497"/>
      <c r="E7" s="497"/>
      <c r="F7" s="497"/>
      <c r="G7" s="497"/>
      <c r="H7" s="497"/>
      <c r="I7" s="222" t="s">
        <v>16</v>
      </c>
      <c r="J7" s="224">
        <f>SUM(M12:M120)</f>
        <v>1</v>
      </c>
      <c r="N7" s="208" t="s">
        <v>542</v>
      </c>
      <c r="O7" s="211">
        <f>PK!AA1</f>
        <v>0</v>
      </c>
      <c r="P7" s="212">
        <f>PK!AA2</f>
        <v>0</v>
      </c>
      <c r="Q7" s="232">
        <f>PK!AA3</f>
        <v>0</v>
      </c>
      <c r="R7" s="211" t="s">
        <v>2569</v>
      </c>
      <c r="S7" s="232">
        <f>IF(RefStr!C44&lt;&gt;"",IF(ISERROR(INT(RefStr!C44)),0,RefStr!C44),0)</f>
        <v>2</v>
      </c>
      <c r="T7" s="211" t="s">
        <v>1862</v>
      </c>
      <c r="U7" s="232">
        <f>RefStr!C7</f>
        <v>5</v>
      </c>
      <c r="V7" s="211" t="s">
        <v>1193</v>
      </c>
      <c r="W7" s="232" t="str">
        <f>TRIM(UPPER(RefStr!C35))</f>
        <v>IVKOM.PLIN@IVKOM.PLIN.HR</v>
      </c>
      <c r="X7" s="211" t="s">
        <v>2515</v>
      </c>
      <c r="Y7" s="232" t="str">
        <f>RefStr!C70</f>
        <v>042/770-574</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43831</v>
      </c>
      <c r="T8" s="211" t="s">
        <v>1861</v>
      </c>
      <c r="U8" s="232" t="str">
        <f>RefStr!D7</f>
        <v>Društvo s ograničenom odgovornošću</v>
      </c>
      <c r="V8" s="211" t="s">
        <v>2574</v>
      </c>
      <c r="W8" s="232" t="str">
        <f>RefStr!C42</f>
        <v>3522</v>
      </c>
      <c r="X8" s="211" t="s">
        <v>2516</v>
      </c>
      <c r="Y8" s="232" t="str">
        <f>TRIM(UPPER(RefStr!C72))</f>
        <v>SLAVICA@IVKOM.HR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17</v>
      </c>
      <c r="Q9" s="231">
        <f>RefStr!F58</f>
        <v>19</v>
      </c>
      <c r="R9" s="211" t="s">
        <v>1860</v>
      </c>
      <c r="S9" s="232">
        <f>IF(RefStr!F4&lt;&gt;"",RefStr!F4,0)</f>
        <v>44196</v>
      </c>
      <c r="T9" s="211" t="s">
        <v>1821</v>
      </c>
      <c r="U9" s="232">
        <f>RefStr!C39</f>
        <v>156</v>
      </c>
      <c r="V9" s="211" t="s">
        <v>1414</v>
      </c>
      <c r="W9" s="232" t="str">
        <f>RefStr!D42</f>
        <v>Distribucija plinovitih goriva distrib...</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27</v>
      </c>
      <c r="Q10" s="233">
        <f>RefStr!F56</f>
        <v>29</v>
      </c>
      <c r="R10" s="213" t="s">
        <v>1863</v>
      </c>
      <c r="S10" s="233">
        <f>RefStr!C23</f>
        <v>1</v>
      </c>
      <c r="T10" s="213" t="s">
        <v>2573</v>
      </c>
      <c r="U10" s="233" t="str">
        <f>RefStr!D39</f>
        <v>Ivanec</v>
      </c>
      <c r="V10" s="240"/>
      <c r="W10" s="241"/>
      <c r="X10" s="242" t="s">
        <v>1974</v>
      </c>
      <c r="Y10" s="243">
        <f>RefStr!F12</f>
        <v>2020</v>
      </c>
      <c r="Z10" s="213" t="s">
        <v>209</v>
      </c>
      <c r="AA10" s="233" t="str">
        <f>RefStr!A75</f>
        <v>PUTAR DARKO</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90"/>
      <c r="E50" s="490"/>
      <c r="F50" s="490"/>
      <c r="G50" s="490"/>
      <c r="H50" s="490"/>
      <c r="I50" s="490"/>
      <c r="J50" s="490"/>
      <c r="L50" s="195">
        <f>IF(N50&lt;&gt;S3,1,0)</f>
        <v>0</v>
      </c>
      <c r="M50" s="195"/>
      <c r="N50" s="195">
        <f>IF(P8&gt;0,O50,AC50)</f>
        <v>2</v>
      </c>
      <c r="O50" s="199">
        <f>IF(SUM(Y50:AA50)&gt;1,4,IF(SUM(U50:W50)&gt;1,3,IF(SUM(Q50:S50)&gt;1,2,IF(S6="DA",2,1))))</f>
        <v>2</v>
      </c>
      <c r="P50" s="202" t="s">
        <v>2666</v>
      </c>
      <c r="Q50" s="202">
        <f>IF(Bilanca!I73&gt;2600000,1,0)</f>
        <v>1</v>
      </c>
      <c r="R50" s="201">
        <f>IF(RDG!I60&gt;5200000,1,0)</f>
        <v>1</v>
      </c>
      <c r="S50" s="201">
        <f>IF(P10&gt;10,1,0)</f>
        <v>1</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2</v>
      </c>
      <c r="AD50" s="202" t="s">
        <v>2666</v>
      </c>
      <c r="AE50" s="202">
        <f>IF(Bilanca!J73&gt;2600000,1,0)</f>
        <v>1</v>
      </c>
      <c r="AF50" s="201">
        <f>IF(S9&gt;S8,IF(RDG!J60*365/(S9-S8)&gt;5200000,1,0),0)</f>
        <v>1</v>
      </c>
      <c r="AG50" s="201">
        <f>IF(Q10&gt;10,1,0)</f>
        <v>1</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1</v>
      </c>
      <c r="AA52" s="225">
        <f>IF(Bilanca!I73&gt;15000000,1,0)</f>
        <v>1</v>
      </c>
      <c r="AB52" s="225">
        <f>IF(RDG!I60&gt;30000000,1,0)</f>
        <v>0</v>
      </c>
      <c r="AC52" s="225">
        <f>IF(P10&gt;25,1,0)</f>
        <v>1</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90" t="s">
        <v>332</v>
      </c>
      <c r="D76" s="490"/>
      <c r="E76" s="490"/>
      <c r="F76" s="490"/>
      <c r="G76" s="490"/>
      <c r="H76" s="490"/>
      <c r="I76" s="490"/>
      <c r="J76" s="490"/>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90" t="s">
        <v>2535</v>
      </c>
      <c r="D92" s="490"/>
      <c r="E92" s="490"/>
      <c r="F92" s="490"/>
      <c r="G92" s="490"/>
      <c r="H92" s="490"/>
      <c r="I92" s="490"/>
      <c r="J92" s="490"/>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Provjera</v>
      </c>
      <c r="C96" s="490" t="s">
        <v>757</v>
      </c>
      <c r="D96" s="490"/>
      <c r="E96" s="490"/>
      <c r="F96" s="490"/>
      <c r="G96" s="490"/>
      <c r="H96" s="490"/>
      <c r="I96" s="490"/>
      <c r="J96" s="490"/>
      <c r="L96" s="195">
        <v>0</v>
      </c>
      <c r="M96" s="195">
        <f aca="true" t="shared" si="16" ref="M96:M105">MAX(N96:W96)</f>
        <v>1</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1</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90" t="s">
        <v>758</v>
      </c>
      <c r="D98" s="490"/>
      <c r="E98" s="490"/>
      <c r="F98" s="490"/>
      <c r="G98" s="490"/>
      <c r="H98" s="490"/>
      <c r="I98" s="490"/>
      <c r="J98" s="490"/>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Pogreška</v>
      </c>
      <c r="C118" s="490" t="s">
        <v>0</v>
      </c>
      <c r="D118" s="490"/>
      <c r="E118" s="490"/>
      <c r="F118" s="490"/>
      <c r="G118" s="490"/>
      <c r="H118" s="490"/>
      <c r="I118" s="490"/>
      <c r="J118" s="490"/>
      <c r="L118" s="200">
        <f>MAX(N118:N118)</f>
        <v>1</v>
      </c>
      <c r="M118" s="200"/>
      <c r="N118" s="200">
        <f>IF(ISERROR(P118),0,1)</f>
        <v>1</v>
      </c>
      <c r="O118" s="195" t="str">
        <f ca="1">CELL("filename")</f>
        <v>\\VEPISSERVER\Company\IVKOM D.D. IVANEC\2021. - IVKOM D.D\2021.-IVKOM-PLIN\URUDŽB.ZAPISNIK I EVID.-PLIN\[PLIN-Urudžbeni zapisnik-2021.xlsx]PLIN-Urudžbeni zapisnik-2021</v>
      </c>
      <c r="P118" s="195">
        <f>FIND(".XLSX",UPPER(O118),1)</f>
        <v>134</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pane ySplit="1" topLeftCell="A17" activePane="bottomLeft" state="frozen"/>
      <selection pane="topLeft" activeCell="A1" sqref="A1"/>
      <selection pane="bottomLeft" activeCell="J1" sqref="J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2020</v>
      </c>
    </row>
    <row r="2" spans="1:17" s="148" customFormat="1" ht="60" customHeight="1">
      <c r="A2" s="292" t="s">
        <v>1057</v>
      </c>
      <c r="B2" s="293"/>
      <c r="C2" s="293"/>
      <c r="D2" s="293"/>
      <c r="E2" s="293"/>
      <c r="F2" s="293"/>
      <c r="G2" s="293"/>
      <c r="H2" s="293"/>
      <c r="I2" s="293"/>
      <c r="J2" s="293"/>
      <c r="K2" s="293"/>
      <c r="L2" s="293"/>
      <c r="M2" s="293"/>
      <c r="N2" s="294"/>
      <c r="O2" s="3"/>
      <c r="P2" s="54"/>
      <c r="Q2" s="53">
        <f>IF(F4&lt;&gt;"",YEAR(F4),"")</f>
        <v>2020</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43831</v>
      </c>
      <c r="D4" s="288"/>
      <c r="E4" s="10" t="s">
        <v>1527</v>
      </c>
      <c r="F4" s="287">
        <v>44196</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21.7</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57.2</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2020</v>
      </c>
      <c r="G12" s="330"/>
      <c r="H12" s="322" t="s">
        <v>2105</v>
      </c>
      <c r="I12" s="323"/>
      <c r="J12" s="323"/>
      <c r="K12" s="156"/>
      <c r="L12" s="156"/>
      <c r="M12" s="156"/>
      <c r="N12" s="156"/>
      <c r="P12" s="54" t="s">
        <v>2353</v>
      </c>
      <c r="Q12" s="55">
        <f>INT(VALUE(H27))/10</f>
        <v>233226.4</v>
      </c>
    </row>
    <row r="13" spans="4:17" ht="9.75" customHeight="1">
      <c r="D13" s="156"/>
      <c r="E13" s="162"/>
      <c r="H13" s="27"/>
      <c r="I13" s="163"/>
      <c r="J13" s="163"/>
      <c r="K13" s="156"/>
      <c r="L13" s="156"/>
      <c r="M13" s="156"/>
      <c r="N13" s="156"/>
      <c r="P13" s="54" t="s">
        <v>2353</v>
      </c>
      <c r="Q13" s="55">
        <f>INT(VALUE(M27))/50</f>
        <v>1401639.62</v>
      </c>
    </row>
    <row r="14" spans="1:17" ht="15">
      <c r="A14" s="321" t="s">
        <v>2714</v>
      </c>
      <c r="B14" s="321"/>
      <c r="C14" s="321"/>
      <c r="D14" s="164"/>
      <c r="E14" s="165"/>
      <c r="F14" s="319"/>
      <c r="G14" s="320"/>
      <c r="H14" s="320"/>
      <c r="I14" s="156"/>
      <c r="J14" s="327" t="s">
        <v>2100</v>
      </c>
      <c r="K14" s="328"/>
      <c r="L14" s="328"/>
      <c r="M14" s="328"/>
      <c r="N14" s="328"/>
      <c r="P14" s="54" t="s">
        <v>2718</v>
      </c>
      <c r="Q14" s="55">
        <f>INT(VALUE(C27))/100</f>
        <v>951931225.18</v>
      </c>
    </row>
    <row r="15" spans="1:17" ht="19.5" customHeight="1">
      <c r="A15" s="324">
        <f>Skriveni!B59</f>
        <v>1997750265.5499997</v>
      </c>
      <c r="B15" s="325"/>
      <c r="C15" s="326"/>
      <c r="D15" s="60"/>
      <c r="E15" s="60"/>
      <c r="F15" s="60"/>
      <c r="G15" s="60"/>
      <c r="H15" s="60"/>
      <c r="I15" s="60"/>
      <c r="J15" s="60"/>
      <c r="K15" s="60"/>
      <c r="L15" s="60"/>
      <c r="M15" s="60"/>
      <c r="N15" s="60"/>
      <c r="P15" s="54" t="s">
        <v>1817</v>
      </c>
      <c r="Q15" s="55">
        <f>LEN(Skriveni!B9)</f>
        <v>17</v>
      </c>
    </row>
    <row r="16" spans="4:17" ht="12.75" customHeight="1">
      <c r="D16" s="60"/>
      <c r="E16" s="60"/>
      <c r="F16" s="60"/>
      <c r="G16" s="60"/>
      <c r="H16" s="60"/>
      <c r="I16" s="60"/>
      <c r="P16" s="54" t="s">
        <v>1818</v>
      </c>
      <c r="Q16" s="55">
        <f>INT(VALUE(C31))/100</f>
        <v>422.4</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6</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2</v>
      </c>
      <c r="D19" s="371" t="str">
        <f>IF(C19="","Svrha predaje nije upisana",IF(ISNA(LOOKUP(C19,A118:A120,A118:A120)),"Nepostojeća ili neprepoznatljiva svrha predaje",IF(LOOKUP(C19,A118:A120,A118:A120)&lt;&gt;C19,"Nepostojeća ili neprepoznatljiva svrha predaje",LOOKUP(C19,A118:A120,B118:B120))))</f>
        <v>Predaja samo u svrhu javne objave</v>
      </c>
      <c r="E19" s="372"/>
      <c r="F19" s="372"/>
      <c r="G19" s="372"/>
      <c r="H19" s="372"/>
      <c r="I19" s="347" t="s">
        <v>1729</v>
      </c>
      <c r="J19" s="373"/>
      <c r="K19" s="373"/>
      <c r="L19" s="373"/>
      <c r="M19" s="373"/>
      <c r="N19" s="36" t="s">
        <v>2139</v>
      </c>
      <c r="P19" s="54" t="s">
        <v>1820</v>
      </c>
      <c r="Q19" s="55">
        <f>LEN(Skriveni!B12)</f>
        <v>13</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2138</v>
      </c>
      <c r="J21" s="374" t="s">
        <v>2110</v>
      </c>
      <c r="K21" s="373"/>
      <c r="L21" s="274" t="s">
        <v>2966</v>
      </c>
      <c r="M21" s="342"/>
      <c r="N21" s="277"/>
      <c r="P21" s="54" t="s">
        <v>1821</v>
      </c>
      <c r="Q21" s="55">
        <f>INT(VALUE(C39))</f>
        <v>156</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3522</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1</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42240</v>
      </c>
      <c r="D31" s="335" t="s">
        <v>693</v>
      </c>
      <c r="E31" s="336"/>
      <c r="F31" s="316" t="s">
        <v>2957</v>
      </c>
      <c r="G31" s="337"/>
      <c r="H31" s="337"/>
      <c r="I31" s="337"/>
      <c r="J31" s="337"/>
      <c r="K31" s="337"/>
      <c r="L31" s="338"/>
      <c r="N31" s="60"/>
      <c r="P31" s="54" t="s">
        <v>514</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2958</v>
      </c>
      <c r="D33" s="345"/>
      <c r="E33" s="345"/>
      <c r="F33" s="345"/>
      <c r="G33" s="345"/>
      <c r="H33" s="345"/>
      <c r="I33" s="345"/>
      <c r="J33" s="345"/>
      <c r="K33" s="345"/>
      <c r="L33" s="346"/>
      <c r="M33" s="60"/>
      <c r="N33" s="60"/>
      <c r="P33" s="54" t="s">
        <v>1824</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2959</v>
      </c>
      <c r="D35" s="340"/>
      <c r="E35" s="340"/>
      <c r="F35" s="340"/>
      <c r="G35" s="340"/>
      <c r="H35" s="340"/>
      <c r="I35" s="341"/>
      <c r="J35" s="283" t="s">
        <v>188</v>
      </c>
      <c r="K35" s="347"/>
      <c r="L35" s="274" t="s">
        <v>2960</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t="s">
        <v>2961</v>
      </c>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156</v>
      </c>
      <c r="D39" s="348" t="str">
        <f>IF(C39="","Šifra grada/općine nije upisana",IF(ISNA(LOOKUP(C39,A177:A732,A177:A732)),"Šifra grada/općine ne postoji",IF(LOOKUP(C39,A177:A732,A177:A732)&lt;&gt;C39,"Šifra grada/općine ne postoji",LOOKUP(C39,A177:A732,B177:B732))))</f>
        <v>Ivanec</v>
      </c>
      <c r="E39" s="349"/>
      <c r="F39" s="349"/>
      <c r="G39" s="349"/>
      <c r="H39" s="272" t="s">
        <v>2222</v>
      </c>
      <c r="I39" s="344"/>
      <c r="J39" s="58">
        <f>IF(C39&gt;0,LOOKUP(C39,A177:A732,C177:C732),"")</f>
        <v>5</v>
      </c>
      <c r="K39" s="351" t="str">
        <f>IF(J39="","Treba prvo upisati šifru grada/općine",LOOKUP(J39,A153:A173,B153:B173))</f>
        <v>VARAŽDINSKA</v>
      </c>
      <c r="L39" s="351"/>
      <c r="M39" s="351"/>
      <c r="N39" s="351"/>
      <c r="P39" s="54" t="s">
        <v>1826</v>
      </c>
      <c r="Q39" s="55">
        <f>C56+2*F56+3*C58+4*F58</f>
        <v>212</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2041</v>
      </c>
      <c r="D42" s="353" t="str">
        <f>IF(C42="","Šifra NKD-a nije upisana",IF(ISNA(LOOKUP(C42,A736:A1351,A736:A1351)),"Šifra NKD-a ne postoji",IF(LOOKUP(C42,A736:A1351,A736:A1351)&lt;&gt;C42,"Šifra NKD-a ne postoji",LOOKUP(C42,A736:A1351,B736:B1351))))</f>
        <v>Distribucija plinovitih goriva distrib...</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2</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Ovisno društvo (nema kontrolu nad drugim društvima), sa maticom u RH </v>
      </c>
      <c r="E44" s="357"/>
      <c r="F44" s="357"/>
      <c r="G44" s="357"/>
      <c r="H44" s="357"/>
      <c r="I44" s="357"/>
      <c r="J44" s="357"/>
      <c r="K44" s="357"/>
      <c r="L44" s="357"/>
      <c r="M44" s="357"/>
      <c r="N44" s="357"/>
      <c r="P44" s="54" t="s">
        <v>530</v>
      </c>
      <c r="Q44" s="55">
        <f>LEN(Skriveni!B43)</f>
        <v>11</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t="s">
        <v>2962</v>
      </c>
      <c r="N46" s="364"/>
      <c r="P46" s="56" t="s">
        <v>1828</v>
      </c>
      <c r="Q46" s="57">
        <f>INT(VALUE(L21))/100</f>
        <v>417482003.89</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2</v>
      </c>
      <c r="D50" s="379" t="str">
        <f>IF(C50="","Oznaka veličine nije upisana",IF(ISNA(LOOKUP(C50,A124:A127,A124:A127)),"Nepostojeća oznaka veličine",IF(LOOKUP(C50,A124:A127,A124:A127)&lt;&gt;C50,"Nepostojeća oznaka veličine",LOOKUP(C50,A124:A127,B124:B127))))</f>
        <v>Mali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NE</v>
      </c>
      <c r="J54" s="350" t="s">
        <v>567</v>
      </c>
      <c r="K54" s="312"/>
      <c r="L54" s="312"/>
      <c r="M54" s="312"/>
      <c r="N54" s="312"/>
      <c r="O54" s="186"/>
      <c r="P54" s="54" t="s">
        <v>2569</v>
      </c>
      <c r="Q54" s="54">
        <f>C44/10</f>
        <v>0.2</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27</v>
      </c>
      <c r="D56" s="270" t="s">
        <v>2898</v>
      </c>
      <c r="E56" s="380"/>
      <c r="F56" s="44">
        <v>29</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17</v>
      </c>
      <c r="D58" s="278" t="s">
        <v>2898</v>
      </c>
      <c r="E58" s="278"/>
      <c r="F58" s="44">
        <v>19</v>
      </c>
      <c r="G58" s="278" t="s">
        <v>2899</v>
      </c>
      <c r="H58" s="278"/>
      <c r="I58" s="5" t="str">
        <f>IF(OR(NT_I!Q1&lt;&gt;0,NT_D!Q1&lt;&gt;0),"DA","NE")</f>
        <v>NE</v>
      </c>
      <c r="J58" s="350" t="s">
        <v>1453</v>
      </c>
      <c r="K58" s="312"/>
      <c r="L58" s="312"/>
      <c r="M58" s="312"/>
      <c r="N58" s="312"/>
      <c r="O58" s="186"/>
      <c r="P58" s="54" t="s">
        <v>1973</v>
      </c>
      <c r="Q58" s="54">
        <f>IF(ISERROR(INT(M46)),LEN(M46),INT(M46)/100)</f>
        <v>31369.06</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2138</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2963</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2960</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2964</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2965</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t="str">
        <f>IF(ISERROR(Kont!J4),"Postoje neke pogreške u Excel datoteci, takva neće moći biti učitana!!!",IF(Kont!J4&gt;0,"Obrazac još uvijek sadrži neke pogreške! Ako ste završili s popunjavanjem, provjerite radni list Kont. Broj pogreški: "&amp;Kont!J4,""))</f>
        <v>Obrazac još uvijek sadrži neke pogreške! Ako ste završili s popunjavanjem, provjerite radni list Kont. Broj pogreški: 1</v>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31.12.2020.</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95193122518; IVKOM-PLIN d.o.o.</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11348826</v>
      </c>
      <c r="J10" s="70">
        <f>J11+J18+J28+J39+J44</f>
        <v>11090855</v>
      </c>
    </row>
    <row r="11" spans="1:10" ht="13.5" customHeight="1">
      <c r="A11" s="384" t="s">
        <v>1850</v>
      </c>
      <c r="B11" s="384"/>
      <c r="C11" s="384"/>
      <c r="D11" s="384"/>
      <c r="E11" s="384"/>
      <c r="F11" s="384"/>
      <c r="G11" s="19">
        <v>3</v>
      </c>
      <c r="H11" s="20"/>
      <c r="I11" s="70">
        <f>SUM(I12:I17)</f>
        <v>619350</v>
      </c>
      <c r="J11" s="70">
        <f>SUM(J12:J17)</f>
        <v>797658</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c r="J13" s="71">
        <v>750</v>
      </c>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v>619350</v>
      </c>
      <c r="J17" s="71">
        <v>796908</v>
      </c>
    </row>
    <row r="18" spans="1:10" ht="13.5" customHeight="1">
      <c r="A18" s="384" t="s">
        <v>731</v>
      </c>
      <c r="B18" s="384"/>
      <c r="C18" s="384"/>
      <c r="D18" s="384"/>
      <c r="E18" s="384"/>
      <c r="F18" s="384"/>
      <c r="G18" s="19">
        <v>10</v>
      </c>
      <c r="H18" s="20"/>
      <c r="I18" s="70">
        <f>SUM(I19:I27)</f>
        <v>10729476</v>
      </c>
      <c r="J18" s="70">
        <f>SUM(J19:J27)</f>
        <v>10293197</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10381436</v>
      </c>
      <c r="J20" s="71">
        <v>10032306</v>
      </c>
    </row>
    <row r="21" spans="1:10" ht="13.5" customHeight="1">
      <c r="A21" s="383" t="s">
        <v>2177</v>
      </c>
      <c r="B21" s="383"/>
      <c r="C21" s="383"/>
      <c r="D21" s="383"/>
      <c r="E21" s="383"/>
      <c r="F21" s="383"/>
      <c r="G21" s="19">
        <v>13</v>
      </c>
      <c r="H21" s="20"/>
      <c r="I21" s="71">
        <v>189644</v>
      </c>
      <c r="J21" s="71">
        <v>144160</v>
      </c>
    </row>
    <row r="22" spans="1:10" ht="13.5" customHeight="1">
      <c r="A22" s="383" t="s">
        <v>2290</v>
      </c>
      <c r="B22" s="383"/>
      <c r="C22" s="383"/>
      <c r="D22" s="383"/>
      <c r="E22" s="383"/>
      <c r="F22" s="383"/>
      <c r="G22" s="19">
        <v>14</v>
      </c>
      <c r="H22" s="20"/>
      <c r="I22" s="71">
        <v>158396</v>
      </c>
      <c r="J22" s="71">
        <v>116731</v>
      </c>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c r="J25" s="71"/>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4301540</v>
      </c>
      <c r="J45" s="70">
        <f>J46+J54+J61+J71</f>
        <v>4669767</v>
      </c>
    </row>
    <row r="46" spans="1:10" ht="13.5" customHeight="1">
      <c r="A46" s="384" t="s">
        <v>2647</v>
      </c>
      <c r="B46" s="384"/>
      <c r="C46" s="384"/>
      <c r="D46" s="384"/>
      <c r="E46" s="384"/>
      <c r="F46" s="384"/>
      <c r="G46" s="19">
        <v>38</v>
      </c>
      <c r="H46" s="20"/>
      <c r="I46" s="70">
        <f>SUM(I47:I53)</f>
        <v>178858</v>
      </c>
      <c r="J46" s="70">
        <f>SUM(J47:J53)</f>
        <v>182410</v>
      </c>
    </row>
    <row r="47" spans="1:10" ht="13.5" customHeight="1">
      <c r="A47" s="383" t="s">
        <v>970</v>
      </c>
      <c r="B47" s="383"/>
      <c r="C47" s="383"/>
      <c r="D47" s="383"/>
      <c r="E47" s="383"/>
      <c r="F47" s="383"/>
      <c r="G47" s="19">
        <v>39</v>
      </c>
      <c r="H47" s="20"/>
      <c r="I47" s="71">
        <v>178858</v>
      </c>
      <c r="J47" s="71">
        <v>182410</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1386870</v>
      </c>
      <c r="J54" s="70">
        <f>SUM(J55:J60)</f>
        <v>2127123</v>
      </c>
    </row>
    <row r="55" spans="1:10" ht="13.5" customHeight="1">
      <c r="A55" s="383" t="s">
        <v>348</v>
      </c>
      <c r="B55" s="383"/>
      <c r="C55" s="383"/>
      <c r="D55" s="383"/>
      <c r="E55" s="383"/>
      <c r="F55" s="383"/>
      <c r="G55" s="19">
        <v>47</v>
      </c>
      <c r="H55" s="20"/>
      <c r="I55" s="71">
        <v>16094</v>
      </c>
      <c r="J55" s="71">
        <v>4402</v>
      </c>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1132830</v>
      </c>
      <c r="J57" s="71">
        <v>2042413</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237946</v>
      </c>
      <c r="J59" s="71">
        <v>80308</v>
      </c>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2735812</v>
      </c>
      <c r="J71" s="71">
        <v>2360234</v>
      </c>
    </row>
    <row r="72" spans="1:10" ht="24.75" customHeight="1">
      <c r="A72" s="381" t="s">
        <v>1558</v>
      </c>
      <c r="B72" s="381"/>
      <c r="C72" s="381"/>
      <c r="D72" s="381"/>
      <c r="E72" s="381"/>
      <c r="F72" s="381"/>
      <c r="G72" s="19">
        <v>64</v>
      </c>
      <c r="H72" s="20"/>
      <c r="I72" s="71">
        <v>4637</v>
      </c>
      <c r="J72" s="71">
        <v>2588</v>
      </c>
    </row>
    <row r="73" spans="1:10" ht="13.5" customHeight="1">
      <c r="A73" s="381" t="s">
        <v>2650</v>
      </c>
      <c r="B73" s="381"/>
      <c r="C73" s="381"/>
      <c r="D73" s="381"/>
      <c r="E73" s="381"/>
      <c r="F73" s="381"/>
      <c r="G73" s="19">
        <v>65</v>
      </c>
      <c r="H73" s="20"/>
      <c r="I73" s="70">
        <f>I9+I10+I45+I72</f>
        <v>15655003</v>
      </c>
      <c r="J73" s="70">
        <f>J9+J10+J45+J72</f>
        <v>15763210</v>
      </c>
    </row>
    <row r="74" spans="1:10" ht="13.5" customHeight="1">
      <c r="A74" s="382" t="s">
        <v>257</v>
      </c>
      <c r="B74" s="382"/>
      <c r="C74" s="382"/>
      <c r="D74" s="382"/>
      <c r="E74" s="382"/>
      <c r="F74" s="382"/>
      <c r="G74" s="21">
        <v>66</v>
      </c>
      <c r="H74" s="22"/>
      <c r="I74" s="72">
        <v>2291800</v>
      </c>
      <c r="J74" s="72">
        <v>2291800</v>
      </c>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3996847</v>
      </c>
      <c r="J76" s="70">
        <f>J77+J78+J79+J85+J86+J90+J93+J96</f>
        <v>4302233</v>
      </c>
      <c r="L76" s="2" t="s">
        <v>2591</v>
      </c>
    </row>
    <row r="77" spans="1:10" ht="13.5" customHeight="1">
      <c r="A77" s="384" t="s">
        <v>935</v>
      </c>
      <c r="B77" s="384"/>
      <c r="C77" s="384"/>
      <c r="D77" s="384"/>
      <c r="E77" s="384"/>
      <c r="F77" s="384"/>
      <c r="G77" s="19">
        <v>68</v>
      </c>
      <c r="H77" s="20"/>
      <c r="I77" s="71">
        <v>2291800</v>
      </c>
      <c r="J77" s="71">
        <v>2291800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71091</v>
      </c>
      <c r="J79" s="70">
        <f>J80+J81-J82+J83+J84</f>
        <v>85324</v>
      </c>
      <c r="L79" s="2" t="s">
        <v>2591</v>
      </c>
    </row>
    <row r="80" spans="1:10" ht="13.5" customHeight="1">
      <c r="A80" s="383" t="s">
        <v>2641</v>
      </c>
      <c r="B80" s="383"/>
      <c r="C80" s="383"/>
      <c r="D80" s="383"/>
      <c r="E80" s="383"/>
      <c r="F80" s="383"/>
      <c r="G80" s="19">
        <v>71</v>
      </c>
      <c r="H80" s="20"/>
      <c r="I80" s="71">
        <v>71015</v>
      </c>
      <c r="J80" s="71">
        <v>85248</v>
      </c>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v>76</v>
      </c>
      <c r="J84" s="71">
        <v>76</v>
      </c>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1349285</v>
      </c>
      <c r="J90" s="70">
        <f>J91-J92</f>
        <v>1619723</v>
      </c>
      <c r="L90" s="2" t="s">
        <v>2591</v>
      </c>
    </row>
    <row r="91" spans="1:10" ht="13.5" customHeight="1">
      <c r="A91" s="383" t="s">
        <v>1139</v>
      </c>
      <c r="B91" s="383"/>
      <c r="C91" s="383"/>
      <c r="D91" s="383"/>
      <c r="E91" s="383"/>
      <c r="F91" s="383"/>
      <c r="G91" s="19">
        <v>82</v>
      </c>
      <c r="H91" s="20"/>
      <c r="I91" s="71">
        <v>1349285</v>
      </c>
      <c r="J91" s="71">
        <v>1619723</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284671</v>
      </c>
      <c r="J93" s="70">
        <f>J94-J95</f>
        <v>305386</v>
      </c>
      <c r="L93" s="2" t="s">
        <v>2591</v>
      </c>
    </row>
    <row r="94" spans="1:10" ht="13.5" customHeight="1">
      <c r="A94" s="383" t="s">
        <v>2640</v>
      </c>
      <c r="B94" s="383"/>
      <c r="C94" s="383"/>
      <c r="D94" s="383"/>
      <c r="E94" s="383"/>
      <c r="F94" s="383"/>
      <c r="G94" s="19">
        <v>85</v>
      </c>
      <c r="H94" s="20"/>
      <c r="I94" s="71">
        <v>284671</v>
      </c>
      <c r="J94" s="71">
        <v>305386</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247557</v>
      </c>
      <c r="J97" s="70">
        <f>SUM(J98:J103)</f>
        <v>169945</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v>247557</v>
      </c>
      <c r="J103" s="71">
        <v>169945</v>
      </c>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2300441</v>
      </c>
      <c r="J116" s="70">
        <f>SUM(J117:J130)</f>
        <v>2397220</v>
      </c>
    </row>
    <row r="117" spans="1:10" ht="13.5" customHeight="1">
      <c r="A117" s="383" t="s">
        <v>2193</v>
      </c>
      <c r="B117" s="383"/>
      <c r="C117" s="383"/>
      <c r="D117" s="383"/>
      <c r="E117" s="383"/>
      <c r="F117" s="383"/>
      <c r="G117" s="19">
        <v>108</v>
      </c>
      <c r="H117" s="20"/>
      <c r="I117" s="71">
        <v>66357</v>
      </c>
      <c r="J117" s="71">
        <v>95162</v>
      </c>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row>
    <row r="124" spans="1:10" ht="13.5" customHeight="1">
      <c r="A124" s="383" t="s">
        <v>358</v>
      </c>
      <c r="B124" s="383"/>
      <c r="C124" s="383"/>
      <c r="D124" s="383"/>
      <c r="E124" s="383"/>
      <c r="F124" s="383"/>
      <c r="G124" s="19">
        <v>115</v>
      </c>
      <c r="H124" s="20"/>
      <c r="I124" s="71">
        <v>2043515</v>
      </c>
      <c r="J124" s="71">
        <v>2101274</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121614</v>
      </c>
      <c r="J126" s="71">
        <v>124699</v>
      </c>
    </row>
    <row r="127" spans="1:10" ht="13.5" customHeight="1">
      <c r="A127" s="383" t="s">
        <v>364</v>
      </c>
      <c r="B127" s="383"/>
      <c r="C127" s="383"/>
      <c r="D127" s="383"/>
      <c r="E127" s="383"/>
      <c r="F127" s="383"/>
      <c r="G127" s="19">
        <v>118</v>
      </c>
      <c r="H127" s="20"/>
      <c r="I127" s="71">
        <v>68955</v>
      </c>
      <c r="J127" s="71">
        <v>76085</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c r="J130" s="71"/>
    </row>
    <row r="131" spans="1:10" ht="24.75" customHeight="1">
      <c r="A131" s="381" t="s">
        <v>1560</v>
      </c>
      <c r="B131" s="381"/>
      <c r="C131" s="381"/>
      <c r="D131" s="381"/>
      <c r="E131" s="381"/>
      <c r="F131" s="381"/>
      <c r="G131" s="19">
        <v>122</v>
      </c>
      <c r="H131" s="20"/>
      <c r="I131" s="71">
        <v>9110158</v>
      </c>
      <c r="J131" s="71">
        <v>8893812</v>
      </c>
    </row>
    <row r="132" spans="1:10" ht="13.5" customHeight="1">
      <c r="A132" s="381" t="s">
        <v>2657</v>
      </c>
      <c r="B132" s="381"/>
      <c r="C132" s="381"/>
      <c r="D132" s="381"/>
      <c r="E132" s="381"/>
      <c r="F132" s="381"/>
      <c r="G132" s="19">
        <v>123</v>
      </c>
      <c r="H132" s="20"/>
      <c r="I132" s="70">
        <f>I76+I97+I104+I116+I131</f>
        <v>15655003</v>
      </c>
      <c r="J132" s="70">
        <f>J76+J97+J104+J116+J131</f>
        <v>15763210</v>
      </c>
    </row>
    <row r="133" spans="1:10" ht="13.5" customHeight="1">
      <c r="A133" s="382" t="s">
        <v>662</v>
      </c>
      <c r="B133" s="382"/>
      <c r="C133" s="382"/>
      <c r="D133" s="382"/>
      <c r="E133" s="382"/>
      <c r="F133" s="382"/>
      <c r="G133" s="21">
        <v>124</v>
      </c>
      <c r="H133" s="22"/>
      <c r="I133" s="72">
        <v>2291800</v>
      </c>
      <c r="J133" s="72">
        <v>2291800</v>
      </c>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pane ySplit="1" topLeftCell="A2" activePane="bottomLeft" state="frozen"/>
      <selection pane="topLeft" activeCell="A1" sqref="A1"/>
      <selection pane="bottomLeft" activeCell="F1" sqref="F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01.01.2020. do 31.12.2020.</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95193122518; IVKOM-PLIN d.o.o.</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14133360</v>
      </c>
      <c r="J8" s="84">
        <f>SUM(J9:J13)</f>
        <v>14247661</v>
      </c>
      <c r="Q8" s="2">
        <f>IF(OR(MIN(I70:J75)&lt;&gt;0,MAX(I70:J75)&lt;&gt;0),1,0)</f>
        <v>0</v>
      </c>
      <c r="R8" s="73" t="s">
        <v>2597</v>
      </c>
    </row>
    <row r="9" spans="1:10" s="2" customFormat="1" ht="13.5" customHeight="1">
      <c r="A9" s="383" t="s">
        <v>1434</v>
      </c>
      <c r="B9" s="383"/>
      <c r="C9" s="383"/>
      <c r="D9" s="383"/>
      <c r="E9" s="383"/>
      <c r="F9" s="383"/>
      <c r="G9" s="19">
        <v>126</v>
      </c>
      <c r="H9" s="20"/>
      <c r="I9" s="71">
        <v>4939</v>
      </c>
      <c r="J9" s="71">
        <v>10950</v>
      </c>
    </row>
    <row r="10" spans="1:10" s="2" customFormat="1" ht="13.5" customHeight="1">
      <c r="A10" s="383" t="s">
        <v>730</v>
      </c>
      <c r="B10" s="383"/>
      <c r="C10" s="383"/>
      <c r="D10" s="383"/>
      <c r="E10" s="383"/>
      <c r="F10" s="383"/>
      <c r="G10" s="19">
        <v>127</v>
      </c>
      <c r="H10" s="20"/>
      <c r="I10" s="71">
        <v>13010437</v>
      </c>
      <c r="J10" s="71">
        <v>13343590</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1117984</v>
      </c>
      <c r="J13" s="71">
        <v>893121</v>
      </c>
    </row>
    <row r="14" spans="1:10" s="2" customFormat="1" ht="13.5" customHeight="1">
      <c r="A14" s="381" t="s">
        <v>1837</v>
      </c>
      <c r="B14" s="381"/>
      <c r="C14" s="381"/>
      <c r="D14" s="381"/>
      <c r="E14" s="381"/>
      <c r="F14" s="381"/>
      <c r="G14" s="19">
        <v>131</v>
      </c>
      <c r="H14" s="20"/>
      <c r="I14" s="70">
        <f>I15+I16+I20+I24+I25+I26+I29+I36</f>
        <v>13845713</v>
      </c>
      <c r="J14" s="70">
        <f>J15+J16+J20+J24+J25+J26+J29+J36</f>
        <v>14008891</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10520514</v>
      </c>
      <c r="J16" s="70">
        <f>SUM(J17:J19)</f>
        <v>10551794</v>
      </c>
    </row>
    <row r="17" spans="1:10" s="2" customFormat="1" ht="13.5" customHeight="1">
      <c r="A17" s="409" t="s">
        <v>504</v>
      </c>
      <c r="B17" s="409"/>
      <c r="C17" s="409"/>
      <c r="D17" s="409"/>
      <c r="E17" s="409"/>
      <c r="F17" s="409"/>
      <c r="G17" s="19">
        <v>134</v>
      </c>
      <c r="H17" s="20"/>
      <c r="I17" s="71">
        <v>9952148</v>
      </c>
      <c r="J17" s="71">
        <v>10059083</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568366</v>
      </c>
      <c r="J19" s="71">
        <v>492711</v>
      </c>
    </row>
    <row r="20" spans="1:10" s="2" customFormat="1" ht="13.5" customHeight="1">
      <c r="A20" s="383" t="s">
        <v>1839</v>
      </c>
      <c r="B20" s="383"/>
      <c r="C20" s="383"/>
      <c r="D20" s="383"/>
      <c r="E20" s="383"/>
      <c r="F20" s="383"/>
      <c r="G20" s="19">
        <v>137</v>
      </c>
      <c r="H20" s="20"/>
      <c r="I20" s="70">
        <f>SUM(I21:I23)</f>
        <v>1965457</v>
      </c>
      <c r="J20" s="70">
        <f>SUM(J21:J23)</f>
        <v>2042251</v>
      </c>
    </row>
    <row r="21" spans="1:10" s="2" customFormat="1" ht="13.5" customHeight="1">
      <c r="A21" s="409" t="s">
        <v>724</v>
      </c>
      <c r="B21" s="409"/>
      <c r="C21" s="409"/>
      <c r="D21" s="409"/>
      <c r="E21" s="409"/>
      <c r="F21" s="409"/>
      <c r="G21" s="19">
        <v>138</v>
      </c>
      <c r="H21" s="20"/>
      <c r="I21" s="71">
        <v>1219417</v>
      </c>
      <c r="J21" s="71">
        <v>1268486</v>
      </c>
    </row>
    <row r="22" spans="1:10" s="2" customFormat="1" ht="13.5" customHeight="1">
      <c r="A22" s="409" t="s">
        <v>961</v>
      </c>
      <c r="B22" s="409"/>
      <c r="C22" s="409"/>
      <c r="D22" s="409"/>
      <c r="E22" s="409"/>
      <c r="F22" s="409"/>
      <c r="G22" s="19">
        <v>139</v>
      </c>
      <c r="H22" s="20"/>
      <c r="I22" s="71">
        <v>473114</v>
      </c>
      <c r="J22" s="71">
        <v>485445</v>
      </c>
    </row>
    <row r="23" spans="1:10" s="2" customFormat="1" ht="13.5" customHeight="1">
      <c r="A23" s="409" t="s">
        <v>962</v>
      </c>
      <c r="B23" s="409"/>
      <c r="C23" s="409"/>
      <c r="D23" s="409"/>
      <c r="E23" s="409"/>
      <c r="F23" s="409"/>
      <c r="G23" s="19">
        <v>140</v>
      </c>
      <c r="H23" s="20"/>
      <c r="I23" s="71">
        <v>272926</v>
      </c>
      <c r="J23" s="71">
        <v>288320</v>
      </c>
    </row>
    <row r="24" spans="1:10" s="2" customFormat="1" ht="13.5" customHeight="1">
      <c r="A24" s="383" t="s">
        <v>259</v>
      </c>
      <c r="B24" s="383"/>
      <c r="C24" s="383"/>
      <c r="D24" s="383"/>
      <c r="E24" s="383"/>
      <c r="F24" s="383"/>
      <c r="G24" s="19">
        <v>141</v>
      </c>
      <c r="H24" s="20"/>
      <c r="I24" s="71">
        <v>637702</v>
      </c>
      <c r="J24" s="71">
        <v>624689</v>
      </c>
    </row>
    <row r="25" spans="1:10" s="2" customFormat="1" ht="13.5" customHeight="1">
      <c r="A25" s="383" t="s">
        <v>260</v>
      </c>
      <c r="B25" s="383"/>
      <c r="C25" s="383"/>
      <c r="D25" s="383"/>
      <c r="E25" s="383"/>
      <c r="F25" s="383"/>
      <c r="G25" s="19">
        <v>142</v>
      </c>
      <c r="H25" s="20"/>
      <c r="I25" s="71">
        <v>503904</v>
      </c>
      <c r="J25" s="71">
        <v>491966</v>
      </c>
    </row>
    <row r="26" spans="1:12" s="2" customFormat="1" ht="13.5" customHeight="1">
      <c r="A26" s="383" t="s">
        <v>1840</v>
      </c>
      <c r="B26" s="383"/>
      <c r="C26" s="383"/>
      <c r="D26" s="383"/>
      <c r="E26" s="383"/>
      <c r="F26" s="383"/>
      <c r="G26" s="19">
        <v>143</v>
      </c>
      <c r="H26" s="20"/>
      <c r="I26" s="70">
        <f>SUM(I27:I28)</f>
        <v>207780</v>
      </c>
      <c r="J26" s="70">
        <f>SUM(J27:J28)</f>
        <v>295406</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207780</v>
      </c>
      <c r="J28" s="71">
        <v>295406</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v>10356</v>
      </c>
      <c r="J36" s="71">
        <v>2785</v>
      </c>
    </row>
    <row r="37" spans="1:10" s="2" customFormat="1" ht="13.5" customHeight="1">
      <c r="A37" s="381" t="s">
        <v>1842</v>
      </c>
      <c r="B37" s="381"/>
      <c r="C37" s="381"/>
      <c r="D37" s="381"/>
      <c r="E37" s="381"/>
      <c r="F37" s="381"/>
      <c r="G37" s="19">
        <v>154</v>
      </c>
      <c r="H37" s="20"/>
      <c r="I37" s="70">
        <f>SUM(I38:I47)</f>
        <v>55490</v>
      </c>
      <c r="J37" s="70">
        <f>SUM(J38:J47)</f>
        <v>121904</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v>9</v>
      </c>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55490</v>
      </c>
      <c r="J44" s="71">
        <v>121895</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c r="J47" s="71"/>
    </row>
    <row r="48" spans="1:10" s="2" customFormat="1" ht="13.5" customHeight="1">
      <c r="A48" s="381" t="s">
        <v>1843</v>
      </c>
      <c r="B48" s="381"/>
      <c r="C48" s="381"/>
      <c r="D48" s="381"/>
      <c r="E48" s="381"/>
      <c r="F48" s="381"/>
      <c r="G48" s="19">
        <v>165</v>
      </c>
      <c r="H48" s="20"/>
      <c r="I48" s="70">
        <f>SUM(I49:I55)</f>
        <v>34</v>
      </c>
      <c r="J48" s="70">
        <f>SUM(J49:J55)</f>
        <v>10</v>
      </c>
    </row>
    <row r="49" spans="1:10" s="2" customFormat="1" ht="13.5" customHeight="1">
      <c r="A49" s="383" t="s">
        <v>1424</v>
      </c>
      <c r="B49" s="383"/>
      <c r="C49" s="383"/>
      <c r="D49" s="383"/>
      <c r="E49" s="383"/>
      <c r="F49" s="383"/>
      <c r="G49" s="19">
        <v>166</v>
      </c>
      <c r="H49" s="20"/>
      <c r="I49" s="71">
        <v>27</v>
      </c>
      <c r="J49" s="71">
        <v>10</v>
      </c>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c r="J51" s="71"/>
    </row>
    <row r="52" spans="1:10" s="2" customFormat="1" ht="13.5" customHeight="1">
      <c r="A52" s="403" t="s">
        <v>1439</v>
      </c>
      <c r="B52" s="403"/>
      <c r="C52" s="403"/>
      <c r="D52" s="403"/>
      <c r="E52" s="403"/>
      <c r="F52" s="403"/>
      <c r="G52" s="19">
        <v>169</v>
      </c>
      <c r="H52" s="20"/>
      <c r="I52" s="71">
        <v>7</v>
      </c>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14188850</v>
      </c>
      <c r="J60" s="70">
        <f>J8+J37+J56+J57</f>
        <v>14369565</v>
      </c>
    </row>
    <row r="61" spans="1:10" s="2" customFormat="1" ht="13.5" customHeight="1">
      <c r="A61" s="381" t="s">
        <v>1845</v>
      </c>
      <c r="B61" s="381"/>
      <c r="C61" s="381"/>
      <c r="D61" s="381"/>
      <c r="E61" s="381"/>
      <c r="F61" s="381"/>
      <c r="G61" s="19">
        <v>178</v>
      </c>
      <c r="H61" s="20"/>
      <c r="I61" s="70">
        <f>I14+I48+I58+I59</f>
        <v>13845747</v>
      </c>
      <c r="J61" s="70">
        <f>J14+J48+J58+J59</f>
        <v>14008901</v>
      </c>
    </row>
    <row r="62" spans="1:12" s="2" customFormat="1" ht="13.5" customHeight="1">
      <c r="A62" s="381" t="s">
        <v>2581</v>
      </c>
      <c r="B62" s="381"/>
      <c r="C62" s="381"/>
      <c r="D62" s="381"/>
      <c r="E62" s="381"/>
      <c r="F62" s="381"/>
      <c r="G62" s="19">
        <v>179</v>
      </c>
      <c r="H62" s="20"/>
      <c r="I62" s="70">
        <f>I60-I61</f>
        <v>343103</v>
      </c>
      <c r="J62" s="70">
        <f>J60-J61</f>
        <v>360664</v>
      </c>
      <c r="L62" s="2" t="s">
        <v>2591</v>
      </c>
    </row>
    <row r="63" spans="1:10" s="2" customFormat="1" ht="13.5" customHeight="1">
      <c r="A63" s="403" t="s">
        <v>2658</v>
      </c>
      <c r="B63" s="403"/>
      <c r="C63" s="403"/>
      <c r="D63" s="403"/>
      <c r="E63" s="403"/>
      <c r="F63" s="403"/>
      <c r="G63" s="19">
        <v>180</v>
      </c>
      <c r="H63" s="20"/>
      <c r="I63" s="70">
        <f>IF(I60&gt;I61,I60-I61,0)</f>
        <v>343103</v>
      </c>
      <c r="J63" s="70">
        <f>IF(J60&gt;J61,J60-J61,0)</f>
        <v>360664</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58432</v>
      </c>
      <c r="J65" s="71">
        <v>55278</v>
      </c>
      <c r="L65" s="2" t="s">
        <v>2591</v>
      </c>
    </row>
    <row r="66" spans="1:12" s="2" customFormat="1" ht="13.5" customHeight="1">
      <c r="A66" s="381" t="s">
        <v>2582</v>
      </c>
      <c r="B66" s="381"/>
      <c r="C66" s="381"/>
      <c r="D66" s="381"/>
      <c r="E66" s="381"/>
      <c r="F66" s="381"/>
      <c r="G66" s="19">
        <v>183</v>
      </c>
      <c r="H66" s="20"/>
      <c r="I66" s="70">
        <f>I62-I65</f>
        <v>284671</v>
      </c>
      <c r="J66" s="70">
        <f>J62-J65</f>
        <v>305386</v>
      </c>
      <c r="L66" s="2" t="s">
        <v>2591</v>
      </c>
    </row>
    <row r="67" spans="1:10" s="2" customFormat="1" ht="13.5" customHeight="1">
      <c r="A67" s="403" t="s">
        <v>779</v>
      </c>
      <c r="B67" s="403"/>
      <c r="C67" s="403"/>
      <c r="D67" s="403"/>
      <c r="E67" s="403"/>
      <c r="F67" s="403"/>
      <c r="G67" s="19">
        <v>184</v>
      </c>
      <c r="H67" s="20"/>
      <c r="I67" s="70">
        <f>IF(I66&gt;0,I66,0)</f>
        <v>284671</v>
      </c>
      <c r="J67" s="70">
        <f>IF(J66&gt;0,J66,0)</f>
        <v>305386</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71" activePane="bottomLeft" state="frozen"/>
      <selection pane="topLeft" activeCell="A1" sqref="A1"/>
      <selection pane="bottomLeft" activeCell="I79" sqref="I79:J80"/>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0</v>
      </c>
      <c r="R1" s="73" t="s">
        <v>539</v>
      </c>
    </row>
    <row r="2" spans="1:18" s="2" customFormat="1" ht="19.5" customHeight="1">
      <c r="A2" s="432" t="s">
        <v>568</v>
      </c>
      <c r="B2" s="433"/>
      <c r="C2" s="433"/>
      <c r="D2" s="433"/>
      <c r="E2" s="433"/>
      <c r="F2" s="433"/>
      <c r="G2" s="433"/>
      <c r="H2" s="433"/>
      <c r="I2" s="434"/>
      <c r="J2" s="388" t="s">
        <v>2593</v>
      </c>
      <c r="Q2" s="74">
        <f>IF(MAX(I9:I88)&gt;0,1,0)</f>
        <v>0</v>
      </c>
      <c r="R2" s="73" t="s">
        <v>2586</v>
      </c>
    </row>
    <row r="3" spans="1:18" s="2" customFormat="1" ht="19.5" customHeight="1" thickBot="1">
      <c r="A3" s="435" t="str">
        <f>"za razdoblje "&amp;IF(RefStr!C4&lt;&gt;"",TEXT(RefStr!C4,"DD.MM.YYYY."),"__.__.____.")&amp;" do "&amp;IF(RefStr!F4&lt;&gt;"",TEXT(RefStr!F4,"DD.MM.YYYY."),"__.__.____.")</f>
        <v>za razdoblje 01.01.2020. do 31.12.2020.</v>
      </c>
      <c r="B3" s="436"/>
      <c r="C3" s="436"/>
      <c r="D3" s="436"/>
      <c r="E3" s="436"/>
      <c r="F3" s="436"/>
      <c r="G3" s="436"/>
      <c r="H3" s="436"/>
      <c r="I3" s="437"/>
      <c r="J3" s="422"/>
      <c r="Q3" s="74">
        <f>IF(MAX(J9:J88)&gt;0,1,0)</f>
        <v>0</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95193122518; IVKOM-PLIN d.o.o.</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c r="J25" s="94"/>
    </row>
    <row r="26" spans="1:10" s="2" customFormat="1" ht="24.75" customHeight="1">
      <c r="A26" s="403" t="s">
        <v>2215</v>
      </c>
      <c r="B26" s="403"/>
      <c r="C26" s="403"/>
      <c r="D26" s="403"/>
      <c r="E26" s="403"/>
      <c r="F26" s="403"/>
      <c r="G26" s="443"/>
      <c r="H26" s="19">
        <v>232</v>
      </c>
      <c r="I26" s="77"/>
      <c r="J26" s="77"/>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c r="J28" s="77"/>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c r="J37" s="94"/>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c r="J50" s="77"/>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c r="J53" s="77"/>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c r="J57" s="77"/>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c r="J60" s="77"/>
    </row>
    <row r="61" spans="1:10" s="2" customFormat="1" ht="13.5" customHeight="1">
      <c r="A61" s="444" t="s">
        <v>2445</v>
      </c>
      <c r="B61" s="444"/>
      <c r="C61" s="444"/>
      <c r="D61" s="444"/>
      <c r="E61" s="444"/>
      <c r="F61" s="444"/>
      <c r="G61" s="445"/>
      <c r="H61" s="19">
        <v>263</v>
      </c>
      <c r="I61" s="77"/>
      <c r="J61" s="77"/>
    </row>
    <row r="62" spans="1:10" s="2" customFormat="1" ht="13.5" customHeight="1">
      <c r="A62" s="403" t="s">
        <v>2439</v>
      </c>
      <c r="B62" s="403"/>
      <c r="C62" s="403"/>
      <c r="D62" s="403"/>
      <c r="E62" s="403"/>
      <c r="F62" s="403"/>
      <c r="G62" s="443"/>
      <c r="H62" s="19">
        <v>264</v>
      </c>
      <c r="I62" s="77"/>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c r="J65" s="77"/>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c r="J73" s="94"/>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0</v>
      </c>
    </row>
    <row r="79" spans="1:10" s="2" customFormat="1" ht="13.5" customHeight="1">
      <c r="A79" s="403" t="s">
        <v>629</v>
      </c>
      <c r="B79" s="403"/>
      <c r="C79" s="403"/>
      <c r="D79" s="403"/>
      <c r="E79" s="403"/>
      <c r="F79" s="403"/>
      <c r="G79" s="443"/>
      <c r="H79" s="19">
        <v>279</v>
      </c>
      <c r="I79" s="77"/>
      <c r="J79" s="77"/>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c r="J88" s="96"/>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95193122518; IVKOM-PLIN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01.01.2020. do 31.12.2020.</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95193122518; IVKOM-PLIN d.o.o.</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01.01.2020. do 31.12.2020.</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95193122518; IVKOM-PLIN d.o.o.</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Financije</cp:lastModifiedBy>
  <cp:lastPrinted>2021-06-28T07:06:48Z</cp:lastPrinted>
  <dcterms:created xsi:type="dcterms:W3CDTF">2008-10-17T11:51:54Z</dcterms:created>
  <dcterms:modified xsi:type="dcterms:W3CDTF">2021-08-23T05:48:52Z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